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5" yWindow="30" windowWidth="21840" windowHeight="9810" activeTab="0"/>
  </bookViews>
  <sheets>
    <sheet name="1.Spese Correnti" sheetId="1" r:id="rId1"/>
    <sheet name="2.Manodopera" sheetId="7" r:id="rId2"/>
    <sheet name="3.Spese di Investimento" sheetId="4" r:id="rId3"/>
    <sheet name="Centri di Costo" sheetId="3" r:id="rId4"/>
    <sheet name="PF Uscite Sp. Corr." sheetId="6" r:id="rId5"/>
    <sheet name="PF Uscite Investim" sheetId="10" r:id="rId6"/>
  </sheets>
  <definedNames>
    <definedName name="_xlnm._FilterDatabase" localSheetId="0" hidden="1">'1.Spese Correnti'!$A$2:$Q$1013</definedName>
    <definedName name="_xlnm._FilterDatabase" localSheetId="1" hidden="1">'2.Manodopera'!$A$2:$N$68</definedName>
    <definedName name="_xlnm._FilterDatabase" localSheetId="2" hidden="1">'3.Spese di Investimento'!$A$2:$Q$51</definedName>
    <definedName name="_xlnm._FilterDatabase" localSheetId="5" hidden="1">'PF Uscite Investim'!$D$1:$E$22</definedName>
    <definedName name="_xlnm._FilterDatabase" localSheetId="4" hidden="1">'PF Uscite Sp. Corr.'!$A$1:$Y$100</definedName>
    <definedName name="_xlnm.Print_Area" localSheetId="0">'1.Spese Correnti'!$F$2:$Q$1014</definedName>
    <definedName name="_xlnm.Print_Area" localSheetId="1">'2.Manodopera'!$A$1:$N$159</definedName>
    <definedName name="_xlnm.Print_Area" localSheetId="2">'3.Spese di Investimento'!$F$2:$Q$52</definedName>
    <definedName name="_xlnm.Print_Area" localSheetId="5">'PF Uscite Investim'!$D$1:$E$22</definedName>
    <definedName name="QFinanziamenti_Previsti" localSheetId="1">#REF!</definedName>
    <definedName name="QFinanziamenti_Previsti" localSheetId="5">#REF!</definedName>
    <definedName name="QFinanziamenti_Previsti">#REF!</definedName>
    <definedName name="QInvestimenti_Previsti___Dettaglio" localSheetId="1">#REF!</definedName>
    <definedName name="QInvestimenti_Previsti___Dettaglio" localSheetId="5">#REF!</definedName>
    <definedName name="QInvestimenti_Previsti___Dettaglio">#REF!</definedName>
    <definedName name="QSpese" localSheetId="1">#REF!</definedName>
    <definedName name="QSpese" localSheetId="5">#REF!</definedName>
    <definedName name="QSpese">#REF!</definedName>
    <definedName name="QSpese_Previste" localSheetId="1">#REF!</definedName>
    <definedName name="QSpese_Previste" localSheetId="5">#REF!</definedName>
    <definedName name="QSpese_Previste">#REF!</definedName>
    <definedName name="QSpese_Previste___Dettaglio" localSheetId="1">#REF!</definedName>
    <definedName name="QSpese_Previste___Dettaglio" localSheetId="5">#REF!</definedName>
    <definedName name="QSpese_Previste___Dettaglio">#REF!</definedName>
    <definedName name="_xlnm.Print_Titles" localSheetId="0">'1.Spese Correnti'!$2:$2</definedName>
    <definedName name="_xlnm.Print_Titles" localSheetId="1">'2.Manodopera'!$2:$2</definedName>
    <definedName name="_xlnm.Print_Titles" localSheetId="2">'3.Spese di Investimento'!$2:$2</definedName>
    <definedName name="_xlnm.Print_Titles" localSheetId="4">'PF Uscite Sp. Corr.'!$1:$1</definedName>
  </definedNames>
  <calcPr calcId="124519"/>
</workbook>
</file>

<file path=xl/comments1.xml><?xml version="1.0" encoding="utf-8"?>
<comments xmlns="http://schemas.openxmlformats.org/spreadsheetml/2006/main">
  <authors>
    <author>Un utente Microsoft Office soddisfatto</author>
    <author>RizzDani</author>
  </authors>
  <commentList>
    <comment ref="I342" authorId="0">
      <text>
        <r>
          <rPr>
            <sz val="9"/>
            <rFont val="Tahoma"/>
            <family val="2"/>
          </rPr>
          <t>RizzDani:
e-mail silvana del 5/12/2017 + 250 €</t>
        </r>
      </text>
    </comment>
    <comment ref="I486" authorId="1">
      <text>
        <r>
          <rPr>
            <b/>
            <sz val="9"/>
            <rFont val="Tahoma"/>
            <family val="2"/>
          </rPr>
          <t>RizzDani:</t>
        </r>
        <r>
          <rPr>
            <sz val="9"/>
            <rFont val="Tahoma"/>
            <family val="2"/>
          </rPr>
          <t xml:space="preserve">
Per manutenzione canne fumarie rif. Bertagnoli: e-mail del 5/1/2018 Paola Policante + 10.000 €</t>
        </r>
      </text>
    </comment>
    <comment ref="I492" authorId="1">
      <text>
        <r>
          <rPr>
            <b/>
            <sz val="9"/>
            <rFont val="Tahoma"/>
            <family val="2"/>
          </rPr>
          <t>RizzDani:</t>
        </r>
        <r>
          <rPr>
            <sz val="9"/>
            <rFont val="Tahoma"/>
            <family val="2"/>
          </rPr>
          <t xml:space="preserve">
Per manutenzione canne fumarie rif. Bertagnoli: e-mail del 5/1/2018 Paola Policante - 10.000 €</t>
        </r>
      </text>
    </comment>
  </commentList>
</comments>
</file>

<file path=xl/sharedStrings.xml><?xml version="1.0" encoding="utf-8"?>
<sst xmlns="http://schemas.openxmlformats.org/spreadsheetml/2006/main" count="11112" uniqueCount="2043">
  <si>
    <t>sezioni</t>
  </si>
  <si>
    <t>settore</t>
  </si>
  <si>
    <t>Tipo_scheda</t>
  </si>
  <si>
    <t>Titolo</t>
  </si>
  <si>
    <t>Ma</t>
  </si>
  <si>
    <t>DIREZIONE DELL'AGENZIA</t>
  </si>
  <si>
    <t>SETTORE UFFICIO STAMPA, COMUNICAZIONE, EUROPE DIRECT  VENETO</t>
  </si>
  <si>
    <t>AO</t>
  </si>
  <si>
    <t>Comunicazione istituzionale dell'Agenzia</t>
  </si>
  <si>
    <t>16.1</t>
  </si>
  <si>
    <t>C</t>
  </si>
  <si>
    <t>Acquisto servizi e prodotti di comunicazione</t>
  </si>
  <si>
    <t>43-U.1.03.02.02.999</t>
  </si>
  <si>
    <t/>
  </si>
  <si>
    <t>54-U.1.03.02.14.999</t>
  </si>
  <si>
    <t>Acquisto servizio di rassegna stampa personalizzata</t>
  </si>
  <si>
    <t>55-U.1.03.02.99.012</t>
  </si>
  <si>
    <t>Abbonamenti</t>
  </si>
  <si>
    <t>31-U.1.03.01.01.001</t>
  </si>
  <si>
    <t>52-U.1.03.02.12.999</t>
  </si>
  <si>
    <t>Fiere, Eventi, Manifestazioni</t>
  </si>
  <si>
    <t>43-U.1.03.02.02.005</t>
  </si>
  <si>
    <t>INV</t>
  </si>
  <si>
    <t>Investimenti per Comunicazione Istituzionale</t>
  </si>
  <si>
    <t>1 videproiettore per aula magna</t>
  </si>
  <si>
    <t>…-…</t>
  </si>
  <si>
    <t>2 lampade multiled da set esterno con batteria, stativi, gelatine</t>
  </si>
  <si>
    <t>1 set microfono lavalier ricevitore-trasmettitore</t>
  </si>
  <si>
    <t>drone con videocamera integrata 4k, sospesa a brandeggio motorizzato</t>
  </si>
  <si>
    <t>videoprioettore portatile da collegare anche a smartphone</t>
  </si>
  <si>
    <t>Attrezzature e servizi informatici per la digitalizzazione della comunicazione istituzionale</t>
  </si>
  <si>
    <t>stazione di montaggio portatile pc o macbookpro</t>
  </si>
  <si>
    <t>STAFF DEL DIRETTORE DELL'AGENZIA</t>
  </si>
  <si>
    <t>Attività connesse alla nuova organizzazione dell'Agenzia</t>
  </si>
  <si>
    <t>96-U.1.10.99.99.999</t>
  </si>
  <si>
    <t>16.2</t>
  </si>
  <si>
    <t>9.5</t>
  </si>
  <si>
    <t>Società partecipate - proventi e oneri connessi</t>
  </si>
  <si>
    <t>imposte IRES su utili e dividendi (€180.000 x 27,50%)</t>
  </si>
  <si>
    <t>20-U.1.02.01.10.001</t>
  </si>
  <si>
    <t>Fondi di Riserva e Fondi per Cofinanziamento dei Progetti</t>
  </si>
  <si>
    <t>Fondi di riserva spese impreviste</t>
  </si>
  <si>
    <t>Fondo per cofinanziamenti progetti (spesa corrente)</t>
  </si>
  <si>
    <t>Oneri per Spese Legali</t>
  </si>
  <si>
    <t>spese legali</t>
  </si>
  <si>
    <t>55-U.1.03.02.99.002</t>
  </si>
  <si>
    <t>imposta di registro per registrazione sentenze</t>
  </si>
  <si>
    <t>12-U.1.02.01.02.001</t>
  </si>
  <si>
    <t>tasse processuali</t>
  </si>
  <si>
    <t>29-U.1.02.01.99.999</t>
  </si>
  <si>
    <t>Spese Generali Immobile ex-Corte Benedettina</t>
  </si>
  <si>
    <t>Manutenzione ordinaria e riparazioni di impianti e macchinari</t>
  </si>
  <si>
    <t>49-U.1.03.02.09.004</t>
  </si>
  <si>
    <t>Servizi di sorveglianza e custodia</t>
  </si>
  <si>
    <t>53-U.1.03.02.13.001</t>
  </si>
  <si>
    <t>53-U.1.03.02.13.999/14</t>
  </si>
  <si>
    <t>86-U.1.10.04.01.002</t>
  </si>
  <si>
    <t>Energia elettrica</t>
  </si>
  <si>
    <t>45-U.1.03.02.05.004</t>
  </si>
  <si>
    <t>86-U.1.10.04.01.003</t>
  </si>
  <si>
    <t>Manutenzione ordinaria e riparazioni di terreni e beni materiali non prodotti</t>
  </si>
  <si>
    <t>49-U.1.03.02.09.012</t>
  </si>
  <si>
    <t>Gas</t>
  </si>
  <si>
    <t>45-U.1.03.02.05.006</t>
  </si>
  <si>
    <t>Telefonia fissa</t>
  </si>
  <si>
    <t>45-U.1.03.02.05.001</t>
  </si>
  <si>
    <t>Acqua</t>
  </si>
  <si>
    <t>45-U.1.03.02.05.005</t>
  </si>
  <si>
    <t>Imposte, tasse e proventi assimilati a carico dell'ente n.a.c. (Contributi Consortili, Canone Rai,..)</t>
  </si>
  <si>
    <t>29-U.1.02.01.99.999/09</t>
  </si>
  <si>
    <t>Tassa e/o tariffa smaltimento rifiuti solidi urbani</t>
  </si>
  <si>
    <t>16-U.1.02.01.06.001</t>
  </si>
  <si>
    <t>32-U.1.03.01.02.001</t>
  </si>
  <si>
    <t>32-U.1.03.01.02.002</t>
  </si>
  <si>
    <t>42-U.1.03.02.02.001</t>
  </si>
  <si>
    <t>45-U.1.03.02.05.999/01</t>
  </si>
  <si>
    <t>Spese telefoniche</t>
  </si>
  <si>
    <t>45-U.1.03.02.05.002</t>
  </si>
  <si>
    <t>53-U.1.03.02.13.999</t>
  </si>
  <si>
    <t>56-U.1.03.02.16.999</t>
  </si>
  <si>
    <t>47-U.1.03.02.07.008/01</t>
  </si>
  <si>
    <t>32-U.1.03.01.02.999</t>
  </si>
  <si>
    <t>51-U.1.03.02.11.999/09</t>
  </si>
  <si>
    <t>53-U.1.03.02.13.004</t>
  </si>
  <si>
    <t>51-U.1.03.02.11.001</t>
  </si>
  <si>
    <t>55-U.1.03.02.99.999</t>
  </si>
  <si>
    <t>53-U.1.03.02.13.999/01</t>
  </si>
  <si>
    <t>51-U.1.03.02.11.999</t>
  </si>
  <si>
    <t>53-U.1.03.02.13.002/01</t>
  </si>
  <si>
    <t>SEZIONE AMMINISTRATIVA</t>
  </si>
  <si>
    <t>AREA TECNICA E PATRIMONIO</t>
  </si>
  <si>
    <t>Agripolis - Manutenzione immobile ed impianti della sede centrale</t>
  </si>
  <si>
    <t>Manutenzione  presidi antincendio</t>
  </si>
  <si>
    <t>49-U.1.03.02.09.004/02</t>
  </si>
  <si>
    <t>Contratto man. Ascensori</t>
  </si>
  <si>
    <t>Manutenzione apparato telefonico</t>
  </si>
  <si>
    <t>Acquisto ferramenta</t>
  </si>
  <si>
    <t>49-U.1.03.02.09.004/09</t>
  </si>
  <si>
    <t>Interventi non programmabili all'immobile ed impianti</t>
  </si>
  <si>
    <t>49-U.1.03.02.09.008</t>
  </si>
  <si>
    <t>Contratto manutenzione impianti tecnologici</t>
  </si>
  <si>
    <t>Agripolis - Gestione automezzi assegnati alla sede centrale</t>
  </si>
  <si>
    <t>Autofficina, gommista, elettrauto</t>
  </si>
  <si>
    <t>49-U.1.03.02.09.001/02</t>
  </si>
  <si>
    <t>Pedaggi autostradali</t>
  </si>
  <si>
    <t>45-U.1.03.02.05.999</t>
  </si>
  <si>
    <t>Carburanti sede</t>
  </si>
  <si>
    <t>32-U.1.03.01.02.002/02</t>
  </si>
  <si>
    <t>Interventi non programmabili</t>
  </si>
  <si>
    <t>49-U.1.03.02.09.001</t>
  </si>
  <si>
    <t>Canoni telepass</t>
  </si>
  <si>
    <t>49-U.1.03.02.09.001/01</t>
  </si>
  <si>
    <t>Lavaggio auto</t>
  </si>
  <si>
    <t>32-U.1.03.01.02.002/01</t>
  </si>
  <si>
    <t>Agripolis - Attività professionali di supporto per la gestione del patrimonio</t>
  </si>
  <si>
    <t>Spese pubblicazione bandi</t>
  </si>
  <si>
    <t>56-U.1.03.02.16.001</t>
  </si>
  <si>
    <t>Visure catastali, ipotecarie, ecc.</t>
  </si>
  <si>
    <t>Manutenzione/aggiornamento portale cartografico Aziendale</t>
  </si>
  <si>
    <t>51-U.1.03.02.11.999/02</t>
  </si>
  <si>
    <t>Incarichi professionali di stima, redazione pratiche tecnico amministrative</t>
  </si>
  <si>
    <t>Spese per aggiornamenti catastali</t>
  </si>
  <si>
    <t>Agripolis - Gestione contratti di affitto della sede  centrale e concessioni amministrative sul patrimonio.</t>
  </si>
  <si>
    <t>Quota parte per registrazione annuale contratti di locazione</t>
  </si>
  <si>
    <t>Imposte, IMU, contrib. consortili e tributi vari sui beni in trasferimento all'Agenzia.</t>
  </si>
  <si>
    <t>IMU - TASI</t>
  </si>
  <si>
    <t>22-U.1.02.01.12.001</t>
  </si>
  <si>
    <t>47-U.1.03.02.07.999</t>
  </si>
  <si>
    <t>Contributi consortili Agripolis</t>
  </si>
  <si>
    <t>29-U.1.02.01.99.999/01</t>
  </si>
  <si>
    <t>Diritti ipotecari e catastali, accertamenti, ecc.</t>
  </si>
  <si>
    <t>Bolli Auto sede Agripolis</t>
  </si>
  <si>
    <t>19-U.1.02.01.09.001</t>
  </si>
  <si>
    <t>Tarsu-Tari Agripolis</t>
  </si>
  <si>
    <t>Oneri per Rate 2018 di Mutui su beni immobili in corso di trasferimento alla Regione Veneto</t>
  </si>
  <si>
    <t>RIMBORSO QUOTA CAPITALE 2018 Mutui Villa Rietti Rota (scadenza 2021 e 2022)</t>
  </si>
  <si>
    <t>Interessi 2018 su Mutui Villa Rietti Rota (scadenza 2021 e 2022)</t>
  </si>
  <si>
    <t>Gestione ad esaurimento delle attività inerenti la RIFORMA FONDIARIA.</t>
  </si>
  <si>
    <t>Oneri IRES - da chiedere a Rimborso</t>
  </si>
  <si>
    <t>Pagamento rata IMU anno 2018 - da chiedere a rimborso</t>
  </si>
  <si>
    <t>Rimborso alla Regione Veneto delle somme incassate per rate di ammortamento riforma fondiaria.</t>
  </si>
  <si>
    <t>75-U.1.09.01.01.001</t>
  </si>
  <si>
    <t>Strumentazione Informatica e Integrazione sistema allarme - Investimenti prioritari</t>
  </si>
  <si>
    <t>Fornitura 32 batterie di tipo ermetico durata 10-12 anni per UPS Generale</t>
  </si>
  <si>
    <t>04-U.2.02.01.04.002</t>
  </si>
  <si>
    <t>Acquisto Firewall hardware alta affidabilità per le sedi di Agripolis, Thiene e  Rosolina</t>
  </si>
  <si>
    <t>07-U.2.02.01.07.999</t>
  </si>
  <si>
    <t>Integrazione sistema allarme con posizionamento sensore antintrusione</t>
  </si>
  <si>
    <t>Acquisto apparati attivi di rete Switch a 48 porte PoE (n. 2), a 48 porte (n. 6), a 24 porte (n. 2)</t>
  </si>
  <si>
    <t>07-U.2.02.01.07.003</t>
  </si>
  <si>
    <t>DIREZIONE SEZIONE AMMINISTRATIVA</t>
  </si>
  <si>
    <t>Servizi in tema di salute e sicurezza nei luoghi di lavoro e servizi connessi, in applicazione del D. Lgs. n. 81/2008</t>
  </si>
  <si>
    <t>58-U.1.03.02.18.001</t>
  </si>
  <si>
    <t>Servizio di componente esterno dell'Organismo di Vigilanza dell'Ageniza, istituito ai sensi del D. Lgs. 231/2001 e D. Lgs. 81/2008</t>
  </si>
  <si>
    <t>Servizio di valutazione/analisi dei rischi correlati a tutte le fattispecie di reato previste dal D. Lgs. 231/2001 per integrazione Modello di organizzazione e gestione aziendale, adottato con D.C.S. n. 403/2014</t>
  </si>
  <si>
    <t>Formazione obbligatoria generale in materia di sicurezza ai sensi del D. Lgs. 81/2008 e Accordo Stato- Regioni del 2011</t>
  </si>
  <si>
    <t>44-U.1.03.02.04.004</t>
  </si>
  <si>
    <t>Attività in qualità di delegato dal Datore di Lavoro</t>
  </si>
  <si>
    <t>Servizio di Medico Competente e Sorveglianza sanitaria</t>
  </si>
  <si>
    <t>Agripolis - Coperture assicurative dell'Agenzia.</t>
  </si>
  <si>
    <t>Coperture assicurative. Polizza all risks patrimonio sede Agripolis</t>
  </si>
  <si>
    <t>Coperture assicurative. Polizza RCA L.M. sede Agripolis e Bosco Nordio</t>
  </si>
  <si>
    <t>Coperture assicurative. Polizza incendio/furto/kasko veicoli di dipendenti in missione</t>
  </si>
  <si>
    <t>86-U.1.10.04.01.999</t>
  </si>
  <si>
    <t>Coperture assicurative. Polizza tutela legale</t>
  </si>
  <si>
    <t>Coperture assicurative. Polizza infortuni cumulativa</t>
  </si>
  <si>
    <t>87-U.1.10.04.99.999</t>
  </si>
  <si>
    <t>Coperture assicurative. Polizza RCA L.M.  - tutti le sedi aziendali - importo presunto in aumento premio complessivo RCA a seguito adeguamento classi di merito veicoli, ove previste, in conseguenza della voltura degli stessi a favore dell'Agenzia</t>
  </si>
  <si>
    <t>Coperture assicurative. Polizza RC patrimoniale</t>
  </si>
  <si>
    <t>Coperture assicurative. Polizza temporanea caso morte/IPM dirigenti</t>
  </si>
  <si>
    <t>Coperture assicurative. Polizza RCT/O</t>
  </si>
  <si>
    <t>Agripolis - Spese postali e e servizi amministrativi</t>
  </si>
  <si>
    <t>Spese postali</t>
  </si>
  <si>
    <t>56-U.1.03.02.16.002</t>
  </si>
  <si>
    <t>Altre spese per servizi amministrativi</t>
  </si>
  <si>
    <t>Agripolis - manutenzioni ordinarie e riparazioni mobili e arredi</t>
  </si>
  <si>
    <t>Manutenzioni mobili e arredi</t>
  </si>
  <si>
    <t>49-U.1.03.02.09.003</t>
  </si>
  <si>
    <t xml:space="preserve"> Agripolis - Noleggi attrezzature</t>
  </si>
  <si>
    <t>Noleggio fotocopiatori</t>
  </si>
  <si>
    <t>47-U.1.03.02.07.008/09</t>
  </si>
  <si>
    <t>Noleggio affrancatrice</t>
  </si>
  <si>
    <t>Agripolis - Servizi ausiliari</t>
  </si>
  <si>
    <t>servizio di pulizie uffici</t>
  </si>
  <si>
    <t>Servizio di vigilanza</t>
  </si>
  <si>
    <t>servizio di facchinaggio e/o trasloco</t>
  </si>
  <si>
    <t>53-U.1.03.02.13.003/02</t>
  </si>
  <si>
    <t>Servizio di portineria</t>
  </si>
  <si>
    <t>Agripolis - Acquisto di beni di consumo</t>
  </si>
  <si>
    <t>Accessori per uffici</t>
  </si>
  <si>
    <t>32-U.1.03.01.02.005</t>
  </si>
  <si>
    <t>Altri beni e materiali di consumo</t>
  </si>
  <si>
    <t>32-U.1.03.01.02.999/09</t>
  </si>
  <si>
    <t>Carta, cancelleria e stampati</t>
  </si>
  <si>
    <t xml:space="preserve"> Agripolis - Utenze per servizio di telefonia e oneri condominiali</t>
  </si>
  <si>
    <t>telefonia mobile</t>
  </si>
  <si>
    <t>Spese di condominio per la sede centrale del'Agenzia</t>
  </si>
  <si>
    <t>45-U.1.03.02.05.007</t>
  </si>
  <si>
    <t>Imposte di bollo e registro su contratti/convenzioni a carico dell'Agenzia</t>
  </si>
  <si>
    <t>imposte di bollo e di registro su contratti/convenzioni</t>
  </si>
  <si>
    <t>Servizi di connettività intranet ed internet per l'anno 2018.</t>
  </si>
  <si>
    <t>Connettività  Cansiglio</t>
  </si>
  <si>
    <t>59-U.1.03.02.19.004</t>
  </si>
  <si>
    <t>Connettività  Verona</t>
  </si>
  <si>
    <t>COLLEGAMENTO RETE DATI SEDI/AGRIPOLIS</t>
  </si>
  <si>
    <t>Connettività Villiago</t>
  </si>
  <si>
    <t>Connettività  Montecchio</t>
  </si>
  <si>
    <t>RETE DATI AGRIPOLIS 735*12</t>
  </si>
  <si>
    <t>Connettività Pellestrina</t>
  </si>
  <si>
    <t>Connettività Diana</t>
  </si>
  <si>
    <t>Connettività Po di tramontana</t>
  </si>
  <si>
    <t>Connettività Feltre/Thiene</t>
  </si>
  <si>
    <t>Connettività Vallevecchia</t>
  </si>
  <si>
    <t>Connettività Conegliano</t>
  </si>
  <si>
    <t>Connettività Sasse</t>
  </si>
  <si>
    <t>Connettività Pradon</t>
  </si>
  <si>
    <t>Connettività Thiene</t>
  </si>
  <si>
    <t>Connettività Corte</t>
  </si>
  <si>
    <t>Sito internet aziendale e servizio di posta elettronica (email) anno 2018.</t>
  </si>
  <si>
    <t>Email 2018</t>
  </si>
  <si>
    <t>59-U.1.03.02.19.001</t>
  </si>
  <si>
    <t>Contratto mantenimento sito web (Arma Informatica)</t>
  </si>
  <si>
    <t>Manutenzione procedure informatiche di: protocollo, disposizioni, contratti, contabilità econ. Patrimoniale, cont. Finanziaria ed altri software per l'anno 2018.</t>
  </si>
  <si>
    <t>Canone manutenzione Jiride e Jserfin e Sicraweb</t>
  </si>
  <si>
    <t>Canone manutenzione Jpers</t>
  </si>
  <si>
    <t>Canone manutenzione annuo programmi Teamsyster</t>
  </si>
  <si>
    <t>Canone manutenzione annuo programmi Alder</t>
  </si>
  <si>
    <t>Servizio di assistenza informatica- sviluppo evolutivo per l'anno 2018.</t>
  </si>
  <si>
    <t>Consulenza legale, fiscale,Tributaria e del lavoro per l'Agenzia</t>
  </si>
  <si>
    <t>consulenza tributaria/fiscale</t>
  </si>
  <si>
    <t>50-U.1.03.02.10.001</t>
  </si>
  <si>
    <t>Lavoro Interinale</t>
  </si>
  <si>
    <t>Prestazioni di natura contabile, tributaria e del lavoro</t>
  </si>
  <si>
    <t>SETTORE FINANZIARIO RAGIONERIA</t>
  </si>
  <si>
    <t>Oneri per Organo di controllo dell'Agenzia</t>
  </si>
  <si>
    <t>Indennità  e rimborso spese a revisore Unico</t>
  </si>
  <si>
    <t>41-U.1.03.02.01.001</t>
  </si>
  <si>
    <t>Quote annuali per Adesione dell'Agenzia ad Associazioni, federazioni e consorzi</t>
  </si>
  <si>
    <t>CONSORZIO TUTELA PROSECCO DOC - Quota associativa Consorzio Prosecco DOC -  Azienda Diana</t>
  </si>
  <si>
    <t>55-U.1.03.02.99.003</t>
  </si>
  <si>
    <t>ASSOCIAZIONE LATTIERO CASEARIA DEL VENETO  Thiene (€500 previsto su scheda ID 44)</t>
  </si>
  <si>
    <t>Associazione Utilitalia - sett. Risorse Umane</t>
  </si>
  <si>
    <t xml:space="preserve"> Distacchi Sindacali -  sett. Risorse Umane</t>
  </si>
  <si>
    <t>CONFAGRICOLTURA TREVISO - Quota associativa per l'iscrizione all'associazione degli agricoltori</t>
  </si>
  <si>
    <t>Adesione FEDERAZIONE ITALIANA PRODUTTORI DI ENERGIA -FIPER - sett. Bioenergie</t>
  </si>
  <si>
    <t>Fondazione Rubens Triva  -  sett. Risorse Umane</t>
  </si>
  <si>
    <t>ANARF - quota associativa</t>
  </si>
  <si>
    <t>ASS.NE PISCICOLTORI ITALIANI - QUOTA ASSOCIATIVA - CENTRO ITTICO VALDASTICO</t>
  </si>
  <si>
    <t>Spese generali amministrative del settore finanziario; entrate da rimborsi spese e interessi attivi su c/c bancario</t>
  </si>
  <si>
    <t>servizi vari</t>
  </si>
  <si>
    <t>spese per servizi finanziari</t>
  </si>
  <si>
    <t>57-U.1.03.02.17.999</t>
  </si>
  <si>
    <t>sw per dichiarazione dei redditi - aggiornamento annuale</t>
  </si>
  <si>
    <t>interessi di mora</t>
  </si>
  <si>
    <t>71-U.1.07.06.02.000</t>
  </si>
  <si>
    <t>pubblicazioni</t>
  </si>
  <si>
    <t>31-U.1.03.01.01.002</t>
  </si>
  <si>
    <t>spese per servizi amministrativi</t>
  </si>
  <si>
    <t>Imposte e tasse dell'Agenzia</t>
  </si>
  <si>
    <t>Imposte, tasse e proventi assimilati a carico dell'ente n.a.c.</t>
  </si>
  <si>
    <t>Imposte sul reddito delle persone giuridiche (ex IRPEG)</t>
  </si>
  <si>
    <t>Versamenti IVA a debito per le gestioni commerciali</t>
  </si>
  <si>
    <t>90-U.1.10.03.01.001</t>
  </si>
  <si>
    <t>IRAP</t>
  </si>
  <si>
    <t>11-U.1.02.01.01.001</t>
  </si>
  <si>
    <t>Imposta di registro e di bollo</t>
  </si>
  <si>
    <t>Rimborso Mutuo Irriguo Az. Sasse - q.capitale e interessi</t>
  </si>
  <si>
    <t>Rimborso mutuo quota capitale rata 30/06/2018</t>
  </si>
  <si>
    <t>Rimborso mutuo quota capitale - eventuali differenze e arrotondamenti e spese</t>
  </si>
  <si>
    <t>Interessi passivi su mutuo rata 30/12/2018</t>
  </si>
  <si>
    <t>Rimborso mutuo quota capitale rata 30/12/2018</t>
  </si>
  <si>
    <t>Interessi passivi su mutuo rata 30/06/2018</t>
  </si>
  <si>
    <t>70-U.1.07.05.00.000</t>
  </si>
  <si>
    <t>Oneri per eventuale Anticipazione di cassa</t>
  </si>
  <si>
    <t>interessi passivi su Anticipazione di cassa € 1.500.000 anno 2018  (cap. 72)</t>
  </si>
  <si>
    <t>SETTORE O.G.RISORSE UMANE</t>
  </si>
  <si>
    <t>Spesa del personale impiegato e dirigente - retribuzioni e oneri</t>
  </si>
  <si>
    <t>contributi obbligatori</t>
  </si>
  <si>
    <t>02-U.1.01.02.01.001</t>
  </si>
  <si>
    <t>benefici contrattuali</t>
  </si>
  <si>
    <t>Contributi malattia/Maternità per incentivante</t>
  </si>
  <si>
    <t>Contributi per TFR</t>
  </si>
  <si>
    <t>Altri contributi Sociali effettivi n.a.c. (Fondi Assistenza integrativa)</t>
  </si>
  <si>
    <t>stipendi lordi</t>
  </si>
  <si>
    <t>00-U.1.01.01.01.002</t>
  </si>
  <si>
    <t>contributi previdenziali integrativi</t>
  </si>
  <si>
    <t>02-U.1.01.02.01.002</t>
  </si>
  <si>
    <t>Contributi malattia/Maternità</t>
  </si>
  <si>
    <t>Onere  Lavoro Straordinario personale impiegato</t>
  </si>
  <si>
    <t>Lavoro Straordinario/supplementare</t>
  </si>
  <si>
    <t>00-U.1.01.01.01.003</t>
  </si>
  <si>
    <t>Buoni Pasto personale impiegato e dirigente</t>
  </si>
  <si>
    <t>Acquisto Buoni Pasto per il personale impiegato e dirigente</t>
  </si>
  <si>
    <t>103-U.1.01.01.02.002</t>
  </si>
  <si>
    <t>Oneri a carico ente per Assegni Famigliari</t>
  </si>
  <si>
    <t>Spesa per erogazione Assegni Famigliari al personale impiegato e dirigente</t>
  </si>
  <si>
    <t>03-U.1.01.02.02.001</t>
  </si>
  <si>
    <t>Rimborso spese missioni personale dipendente</t>
  </si>
  <si>
    <t>rimborso spese per missioni al personale impiegato e dirigente</t>
  </si>
  <si>
    <t>Formazione del personale dell'Agenzia</t>
  </si>
  <si>
    <t>spese per formazione personale impiegato e dirigente</t>
  </si>
  <si>
    <t>Acquisto di servizi  di manutenzione evolutiva e formazione su programmi paghe - presenze</t>
  </si>
  <si>
    <t>Studio analisi per gestione operai presenze - paghe</t>
  </si>
  <si>
    <t>59-U.1.03.02.19.002</t>
  </si>
  <si>
    <t>Acquisto formazione addestramento rivolto al personale del Settore O.G.Risorse Umane per programmi stipendi - 12gg (€ 7.800,00+IVA)</t>
  </si>
  <si>
    <t>Recupero dati (€ 5.000,00 + IVA) da Kybernetes a Jpers maggioli</t>
  </si>
  <si>
    <t>Acquisto formazione adestramento rivolto al personale del Settore O.G.Risorse Umane per programmi presenze - 8gg (€ 5.200,00+IVA)</t>
  </si>
  <si>
    <t>Recupero dati - gestione CU 2017 (€ 3.200,00 + IVA)</t>
  </si>
  <si>
    <t>SEZIONE INNOVAZIONE E SVILUPPO</t>
  </si>
  <si>
    <t>SETTORE BIOTECNOLOGIE AGROALIMENTARI</t>
  </si>
  <si>
    <t>Centro di Thiene - Lab microbiologia e Biotecnologie - Supporto microbiologico e tecnologico alle imprese del comparto agricolo e agroalimentare veneto</t>
  </si>
  <si>
    <t>Manutenzione ordinaria e riparazione attrezzature</t>
  </si>
  <si>
    <t>49-U.1.03.02.09.005/02</t>
  </si>
  <si>
    <t>Analisi in subappalto e  quota costi Accreditamento laboratori</t>
  </si>
  <si>
    <t>Servizi di pulizia e lavanderia</t>
  </si>
  <si>
    <t>53-U.1.03.02.13.002</t>
  </si>
  <si>
    <t>Altri beni o materiali di consumo</t>
  </si>
  <si>
    <t>Vestiario</t>
  </si>
  <si>
    <t>32-U.1.03.01.02.004</t>
  </si>
  <si>
    <t>Materiali di consumo e reagenti</t>
  </si>
  <si>
    <t>32-U.1.03.01.02.007/09</t>
  </si>
  <si>
    <t>Centro di Thiene - Centro produzione fermenti - Colture microbiche per l’industria agroalimentare</t>
  </si>
  <si>
    <t>49-U.1.03.02.09.005</t>
  </si>
  <si>
    <t>Materie prime e materiali di consumo</t>
  </si>
  <si>
    <t>32-U.1.03.01.02.007</t>
  </si>
  <si>
    <t>Altri beni e materiali</t>
  </si>
  <si>
    <t>Altri servizi ausiliari</t>
  </si>
  <si>
    <t>Centro di Thiene - Lab. Latte - Qualità e sicurezza del latte crudo</t>
  </si>
  <si>
    <t>Altri materiali di consumo</t>
  </si>
  <si>
    <t>Analisi in subappalto e Quota accreditamento</t>
  </si>
  <si>
    <t>Spese di lavanderia</t>
  </si>
  <si>
    <t>53-U.1.03.02.13.002/02</t>
  </si>
  <si>
    <t>Manutenzione attrezzature</t>
  </si>
  <si>
    <t>Centro di Thiene - Lab. Chimica - Supporto analitico chimico alle imprese del comparto agroalimentare veneto</t>
  </si>
  <si>
    <t>Analisi in subappalto e quota accreditamento</t>
  </si>
  <si>
    <t>Leasing</t>
  </si>
  <si>
    <t>48-U.1.03.02.08.002</t>
  </si>
  <si>
    <t>Manutenzioni attrezzature</t>
  </si>
  <si>
    <t>Lavanderia</t>
  </si>
  <si>
    <t>Centro di Thiene - Lab. Chimica - Monitoraggio aflatossina M1 in latte</t>
  </si>
  <si>
    <t>costo reagenti e materiale di consumo</t>
  </si>
  <si>
    <t>Centro di Thiene - Lab. Chimica - Assistenza tecnica alla montagna bellunese</t>
  </si>
  <si>
    <t>Reagenti e materiale di consumo</t>
  </si>
  <si>
    <t>Centro di Thiene - Laboratorio analisi sensoriale - attività</t>
  </si>
  <si>
    <t>Materiali di consumo</t>
  </si>
  <si>
    <t>Spese lavanderia</t>
  </si>
  <si>
    <t>Quota accreditamento</t>
  </si>
  <si>
    <t>Centro di Thiene - Spese generali</t>
  </si>
  <si>
    <t>Altri servizi</t>
  </si>
  <si>
    <t>Commissioni per servizi finanziari</t>
  </si>
  <si>
    <t>57-U.1.03.02.17.001</t>
  </si>
  <si>
    <t>Quote associative</t>
  </si>
  <si>
    <t>Assicurazione Responsabilità civile verso terzi</t>
  </si>
  <si>
    <t>Spese per sicurezza (Direttore di Sezione)</t>
  </si>
  <si>
    <t>Assicurazioni beni immobili</t>
  </si>
  <si>
    <t>Noleggi fotocopiatrici</t>
  </si>
  <si>
    <t>47-U.1.03.02.07.008</t>
  </si>
  <si>
    <t>Cancelleria</t>
  </si>
  <si>
    <t>Giornali e riviste</t>
  </si>
  <si>
    <t>Imposte, tasse</t>
  </si>
  <si>
    <t>Tassa di circolazione veicoli a motore</t>
  </si>
  <si>
    <t>Manutenzione immobili</t>
  </si>
  <si>
    <t>Imposta di registro e bollo</t>
  </si>
  <si>
    <t>Strumenti tecnici</t>
  </si>
  <si>
    <t>32-U.1.03.01.02.008</t>
  </si>
  <si>
    <t>Altri materiali</t>
  </si>
  <si>
    <t>Tassa di smaltimento rifiuti</t>
  </si>
  <si>
    <t>Carburanti</t>
  </si>
  <si>
    <t>Servizi di pulizia</t>
  </si>
  <si>
    <t>Vigilanza</t>
  </si>
  <si>
    <t>Prestazioni professionali</t>
  </si>
  <si>
    <t>Trasporti</t>
  </si>
  <si>
    <t>53-U.1.03.02.13.003</t>
  </si>
  <si>
    <t>Manutenzione auto</t>
  </si>
  <si>
    <t>Manutenzione giardino</t>
  </si>
  <si>
    <t>Centro di Thiene - Acquisto apparecchiature Lab. Microbiologia e Biotecnologie - Investimenti prioritari</t>
  </si>
  <si>
    <t>Frigorifero da laboratorio</t>
  </si>
  <si>
    <t>05-U.2.02.01.05.999</t>
  </si>
  <si>
    <t>Lavavetreria da laboratorio</t>
  </si>
  <si>
    <t>Agitatori provette</t>
  </si>
  <si>
    <t>05-U.2.02.01.05.001</t>
  </si>
  <si>
    <t>Centro di Thiene - Trasferimento nella sede di Thiene del laboratorio di micropropagazione di Po di Tramontana - Investimenti prioritari</t>
  </si>
  <si>
    <t>Predisposizione di nuovi impianti elettrici a Thiene per allacciamento nuove apparecchiature</t>
  </si>
  <si>
    <t>Acquisto di una cella climatica per il laboratorio di Thiene</t>
  </si>
  <si>
    <t>SETTORE ECONOMIA, MERCATI E COMPETITIVITA'</t>
  </si>
  <si>
    <t>Osservatorio Economico Agroalimentare e Forestale</t>
  </si>
  <si>
    <t>acquisto banche dati</t>
  </si>
  <si>
    <t>45-U.1.03.02.05.003</t>
  </si>
  <si>
    <t>acquisto pubblicazioni, aggiornamento data base, servizi per indagini</t>
  </si>
  <si>
    <t>Formazione ed aggiornamento professionale (con quote di iscrizione)</t>
  </si>
  <si>
    <t>accreditamento e sistema qualità</t>
  </si>
  <si>
    <t>tutor</t>
  </si>
  <si>
    <t>imposte e tasse</t>
  </si>
  <si>
    <t>servizi ausiliari</t>
  </si>
  <si>
    <t>beni di consumo</t>
  </si>
  <si>
    <t>prestazioni e collaborazioni professionali da docenti</t>
  </si>
  <si>
    <t>Direttiva 1.1.A3 Interventi prioritari per condividere e incrementare le conoscenze</t>
  </si>
  <si>
    <t>Know-how e servizi per la condivisione della conoscenza e dell’innovazione</t>
  </si>
  <si>
    <t>tipografie</t>
  </si>
  <si>
    <t>grafica</t>
  </si>
  <si>
    <t>53-U.1.03.02.13.999/11</t>
  </si>
  <si>
    <t>collaborazioni professionali</t>
  </si>
  <si>
    <t>Azioni divulgative AFTER-LIFE</t>
  </si>
  <si>
    <t>53-U.1.03.02.13.999/12</t>
  </si>
  <si>
    <t>Centro Ittico Bonello - Attività di vallicoltura estensiva</t>
  </si>
  <si>
    <t>Telefono linee 0426 80030 - 0426 80397</t>
  </si>
  <si>
    <t>Noleggio bombole varie</t>
  </si>
  <si>
    <t>Manutenzioni autocarri</t>
  </si>
  <si>
    <t>Manutenzione escavatore  (controllo periodico ARPAV)</t>
  </si>
  <si>
    <t>49-U.1.03.02.09.004/01</t>
  </si>
  <si>
    <t>Manutenzioe caldaia ed altri impianti</t>
  </si>
  <si>
    <t>Manut. Estintori</t>
  </si>
  <si>
    <t>49-U.1.03.02.09.005/09</t>
  </si>
  <si>
    <t>Spese tenuta paghe operai</t>
  </si>
  <si>
    <t>51-U.1.03.02.11.008/01</t>
  </si>
  <si>
    <t>Premi di assicurazioni per responsabilità civile verso terzi</t>
  </si>
  <si>
    <t>Premi di assicurazioni su immobili</t>
  </si>
  <si>
    <t>Spese di cancelleria</t>
  </si>
  <si>
    <t>Acq. Semine</t>
  </si>
  <si>
    <t>33-U.1.03.01.03.001/02</t>
  </si>
  <si>
    <t>Intermediazioni di mercato</t>
  </si>
  <si>
    <t>53-U.1.03.02.13.999/04</t>
  </si>
  <si>
    <t>Contributi consortili ordinari</t>
  </si>
  <si>
    <t>Piccoli acquisti di  materiali per manutenzioni</t>
  </si>
  <si>
    <t>32-U.1.03.01.02.999/02</t>
  </si>
  <si>
    <t>Carburanti e lubrificanti macchine agricole, forestali e simili</t>
  </si>
  <si>
    <t>32-U.1.03.01.02.002/03</t>
  </si>
  <si>
    <t>04-U.1.01.01.01.002</t>
  </si>
  <si>
    <t>Imposta pubblicità sui cartelli segnaletici</t>
  </si>
  <si>
    <t>13-U.1.02.01.03.001</t>
  </si>
  <si>
    <t>Tassa circolazione Fiat Doblò e VW Caddy</t>
  </si>
  <si>
    <t>Canoni concessioni/derivazioni Regione Veneto, spese gestione idrovora, eventuali spese di istruttoria</t>
  </si>
  <si>
    <t>Carburanti e lubrificanti autocarri</t>
  </si>
  <si>
    <t>GLP per riscaldamento uffici</t>
  </si>
  <si>
    <t>32-U.1.03.01.02.002/04</t>
  </si>
  <si>
    <t>Vestiario operai</t>
  </si>
  <si>
    <t>32-U.1.03.01.02.004/01</t>
  </si>
  <si>
    <t>Cassette per il pesce</t>
  </si>
  <si>
    <t>32-U.1.03.01.02.007/10</t>
  </si>
  <si>
    <t>Acq. Ferramenta</t>
  </si>
  <si>
    <t>Tassa smaltimento rifiuti</t>
  </si>
  <si>
    <t>Centro di Pellestrina - Spese generali</t>
  </si>
  <si>
    <t>Acq. Materiale di consumo per manutenzioni in economia</t>
  </si>
  <si>
    <t>Premi di assicurazione per responsabilità civile verso terzi</t>
  </si>
  <si>
    <t>Manut. Fabbricati</t>
  </si>
  <si>
    <t>Servizi vari da terzi (pulizia ambiente esterno)</t>
  </si>
  <si>
    <t>Premi di assicurazione su beni immobili</t>
  </si>
  <si>
    <t>Centro Ittico Valdastico - Biodiversità della Trota marmorata</t>
  </si>
  <si>
    <t>Mangime</t>
  </si>
  <si>
    <t>32-U.1.03.01.02.007/05</t>
  </si>
  <si>
    <t>Mat. Consumo vario di ferramenta</t>
  </si>
  <si>
    <t>Gestione costi convenzione  con GSE - fotovoltaico</t>
  </si>
  <si>
    <t>Servizio di stacco corrente elettrica per manut. Periodica cabina elettrica</t>
  </si>
  <si>
    <t>Analisi (ISZ,Univ. Parma, Savi)</t>
  </si>
  <si>
    <t>53-U.1.03.02.13.999/03</t>
  </si>
  <si>
    <t>Prestazione professionale (compresa quella per invio annuo letture fotovoltaico)</t>
  </si>
  <si>
    <t>Spese tenuta paghe oti - otd</t>
  </si>
  <si>
    <t>Manutenzioni immobili (cabina elettrica,messa a terra)</t>
  </si>
  <si>
    <t>Noleggio annuo bombole ossigeno</t>
  </si>
  <si>
    <t>Manutenzione impianti (antincendio,caldaie,idraulico,elettrico,taratura contatore fotovoltaico, varie)</t>
  </si>
  <si>
    <t>Servizio di misura fotovoltaico</t>
  </si>
  <si>
    <t>Gas (per riscaldamento ufficio)</t>
  </si>
  <si>
    <t>Spese telefoniche linea 0445 745420</t>
  </si>
  <si>
    <t>Indennità di missione e trasferta OPERAI</t>
  </si>
  <si>
    <t>42-U.1.03.02.02.002</t>
  </si>
  <si>
    <t>Acq. Prodotti per uso veterinario</t>
  </si>
  <si>
    <t>35-U.1.03.01.05.007</t>
  </si>
  <si>
    <t>Acq. Pesce selvatico</t>
  </si>
  <si>
    <t>Manutenzione estintori</t>
  </si>
  <si>
    <t>32-U.1.03.01.02.001/02</t>
  </si>
  <si>
    <t>Carburante per attrezzature (gruppo elettrogeno-decespugliatore)</t>
  </si>
  <si>
    <t>Piccole attrezzature</t>
  </si>
  <si>
    <t>32-U.1.03.01.02.008/01</t>
  </si>
  <si>
    <t>Ossigeno in bombole</t>
  </si>
  <si>
    <t>32-U.1.03.01.02.007/11</t>
  </si>
  <si>
    <t>Imballaggi per uova</t>
  </si>
  <si>
    <t>Tassa rifiuti</t>
  </si>
  <si>
    <t>Canoni concessori genio civile + licenza fotovoltaico</t>
  </si>
  <si>
    <t>Smaltimento rifiuti</t>
  </si>
  <si>
    <t>53-U.1.03.02.13.999/07</t>
  </si>
  <si>
    <t>Rete ombreggiante</t>
  </si>
  <si>
    <t>32-U.1.03.01.02.008/03</t>
  </si>
  <si>
    <t>Acq. Sanitizzanti</t>
  </si>
  <si>
    <t>32-U.1.03.01.02.999/01</t>
  </si>
  <si>
    <t>07-U.1.01.01.01.006</t>
  </si>
  <si>
    <t>Premi di assicurazioni su beni immobili</t>
  </si>
  <si>
    <t>Centro Ittico Valdastico - Attività di gestione degli Obblighi Ittiogenici</t>
  </si>
  <si>
    <t>acquisto di materiale ittico</t>
  </si>
  <si>
    <t>33-U.1.03.01.03.001/01</t>
  </si>
  <si>
    <t>Gestione Riserva Naturale Integrale Bosco Nordio 2018</t>
  </si>
  <si>
    <t>Noleggio piattaforma aerea</t>
  </si>
  <si>
    <t>GPL bombolone</t>
  </si>
  <si>
    <t>Bollo automezzo pickup</t>
  </si>
  <si>
    <t>Manutenzione macchine e attrezzature forestali</t>
  </si>
  <si>
    <t xml:space="preserve">49-U.1.03.02.09.005                               </t>
  </si>
  <si>
    <t>Combustibili automezzi, macchine agricole e motoseghe (miscela alchilata)</t>
  </si>
  <si>
    <t>manutenzione caldaia</t>
  </si>
  <si>
    <t xml:space="preserve">49-U.1.03.02.09.004                               </t>
  </si>
  <si>
    <t>DPI e vestiario</t>
  </si>
  <si>
    <t>32-U.1.03.01.02.003</t>
  </si>
  <si>
    <t>Telefono (internet e fax)</t>
  </si>
  <si>
    <t>Manutenzione pickup</t>
  </si>
  <si>
    <t xml:space="preserve">49-U.1.03.02.09.001                               </t>
  </si>
  <si>
    <t>Incarico tenuta paghe operai</t>
  </si>
  <si>
    <t>51-U.1.03.02.11.008</t>
  </si>
  <si>
    <t>Altre prest.professionali</t>
  </si>
  <si>
    <t>Altri servizi diversi</t>
  </si>
  <si>
    <t xml:space="preserve">55-U.1.03.02.99.999                               </t>
  </si>
  <si>
    <t>Tasse varie consortili</t>
  </si>
  <si>
    <t>Gestione Oasi di Ca' Mello e Riserva Naturale Bocche di Po 2018</t>
  </si>
  <si>
    <t>Gestione Museo Ambientale di Vallevecchia</t>
  </si>
  <si>
    <t>manutenzione pontile</t>
  </si>
  <si>
    <t>49-U.1.03.02.09.011</t>
  </si>
  <si>
    <t xml:space="preserve">45-U.1.03.02.05.005                               </t>
  </si>
  <si>
    <t xml:space="preserve">45-U.1.03.02.05.004                               </t>
  </si>
  <si>
    <t>materiale per piccole manutenzioni</t>
  </si>
  <si>
    <t xml:space="preserve">32-U.1.03.01.02.999/02                            </t>
  </si>
  <si>
    <t>manutenzione impianti e attrezzature (ascensore e presidi antincendio, vasche imhof, caldaia, impianti elettrici ed idraulici…)</t>
  </si>
  <si>
    <t>Telefono</t>
  </si>
  <si>
    <t xml:space="preserve">45-U.1.03.02.05.001                               </t>
  </si>
  <si>
    <t>servizi vari funzionali alla gestione (derattizzazione, verifiche messa a terra, pulizie straordinarie…)</t>
  </si>
  <si>
    <t xml:space="preserve">53-U.1.03.02.13.999                               </t>
  </si>
  <si>
    <t>Tassa rifiuti urbani MAV</t>
  </si>
  <si>
    <t xml:space="preserve">16-U.1.02.01.06.001                               </t>
  </si>
  <si>
    <t>Gestione Naturalistica Museo dell'Uomo in Cansiglio e Giardino Botanico Giangio Lorenzoni</t>
  </si>
  <si>
    <t>Acquisti di materiale vario</t>
  </si>
  <si>
    <t xml:space="preserve">32-U.1.03.01.02.999/09                            </t>
  </si>
  <si>
    <t>Manutenzione macchine e attrezzi da lavoro</t>
  </si>
  <si>
    <t>Energia elettrica Giardino Botanico</t>
  </si>
  <si>
    <t>Acqua Giardino Botanico</t>
  </si>
  <si>
    <t>Spurgo vasca Imhof MUC</t>
  </si>
  <si>
    <t>Spese telefoniche MUC</t>
  </si>
  <si>
    <t>Energia elettrica MUC</t>
  </si>
  <si>
    <t>Manutenzione presidi antincendio e  caldaia MUC</t>
  </si>
  <si>
    <t>Manutenzione ascensore MUC</t>
  </si>
  <si>
    <t>Manutenzioni elettriche MUC</t>
  </si>
  <si>
    <t xml:space="preserve">49-U.1.03.02.09.004/02                            </t>
  </si>
  <si>
    <t>Incarico per controllo messa a terra MUC</t>
  </si>
  <si>
    <t xml:space="preserve">51-U.1.03.02.11.999                               </t>
  </si>
  <si>
    <t>Ricarica bombolone GPL MUC</t>
  </si>
  <si>
    <t xml:space="preserve">32-U.1.03.01.02.002/04                            </t>
  </si>
  <si>
    <t>Acqua MUC</t>
  </si>
  <si>
    <t xml:space="preserve">07-U.1.01.01.01.006                               </t>
  </si>
  <si>
    <t>Attività Naturalistica e valorizzazione del turismo sostenibile</t>
  </si>
  <si>
    <t>acquisto di ferrmenta ed impregnante per realizzazione di nuovi tratti di recinzione, nuovi sentieri di accesso agli habitat della roccera e della dolina, cartelli didattico informativi</t>
  </si>
  <si>
    <t>32-U.1.03.01.02.007/07</t>
  </si>
  <si>
    <t>acquisto materiale per interventi di manutenzione ordinaria e straordinaria e per  migliorie sui fabbricati eseguiti in amministrazione diretta</t>
  </si>
  <si>
    <t>azioni di comunicazione e valorizzazione turistica (PREVISTA SU SCHEDA DELL' UFFICIO STAMPA € 6.000)</t>
  </si>
  <si>
    <t xml:space="preserve">53-U.1.03.02.13.999/16                            </t>
  </si>
  <si>
    <t>ristampa di fotografia per l'area belvedere del Giardino Botanico</t>
  </si>
  <si>
    <t>acquisto paleria e legname per cornici pannelli, pali recinzioni, sentiero di accesso alla dolina, ecc</t>
  </si>
  <si>
    <t>32-U.1.03.01.02.007/08</t>
  </si>
  <si>
    <t>acquisto di rete per recinzioni</t>
  </si>
  <si>
    <t>acquisto materiale lapideo per realizzazione sentieri; acquisto materiale calcareo da scogliera per implementazione habitat rocciera; acquisto stabilizzato per realizzazione 
piazzola di alloggiamento bagni</t>
  </si>
  <si>
    <t>nolo escavatore per movimenti terra e stesa stabilizzato e materiale lapideo e nolo di autocarri per trasporto materiale lapideo</t>
  </si>
  <si>
    <t>47-U.1.03.02.07.008/02</t>
  </si>
  <si>
    <t>acquisto carburante per utilizzo di mezzi a noleggio</t>
  </si>
  <si>
    <t>acquisto pubblicazioni scientifiche per il giardino Botanico per la determinazione delle specie</t>
  </si>
  <si>
    <t>Proseguimento attività di monitoraggio della popolazione di cervo in Cansiglio</t>
  </si>
  <si>
    <t>incarico a faunista esterno per il nolo di radiocollari ed il monitoraggio con radiotracking dei gruppi di cervi presenti in Cansiglio</t>
  </si>
  <si>
    <t>51-U.1.03.02.11.009</t>
  </si>
  <si>
    <t>AI</t>
  </si>
  <si>
    <t>Attività di ricerca faunistica 2018</t>
  </si>
  <si>
    <t>Avvio di uno studio sperimentale pluriennale delle azioni di miglioramento ambientale attuabili in ambiti agrari per favorire la sosta e la nidificazione dell'allodola</t>
  </si>
  <si>
    <t>Acquisto di materiali necessari per il monitoraggio faunistico nelle Aree Rete Natura 2000</t>
  </si>
  <si>
    <t>avvio di un monitoraggio pluriennale della popolazione di cormorano su aree geografiche campione al fine di valutare l'impatto della specie sull'economia dell'attività di itticoltura</t>
  </si>
  <si>
    <t>incarico all'Università per lo sviluppo di software che facilitano e rendono economici i monitoraggi faunistici (analisi dei suoni e delle immagini)</t>
  </si>
  <si>
    <t>Azioni divulgative per Trentennale Centro Po di Tramontana</t>
  </si>
  <si>
    <t>stampa tipografia</t>
  </si>
  <si>
    <t>traduzioni</t>
  </si>
  <si>
    <t>ristorazione</t>
  </si>
  <si>
    <t>54-U.1.03.02.14.999/01</t>
  </si>
  <si>
    <t>media</t>
  </si>
  <si>
    <t>servizi grafici</t>
  </si>
  <si>
    <t>Utenze e canoni</t>
  </si>
  <si>
    <t>Materiale informatico</t>
  </si>
  <si>
    <t>32-U.1.03.01.02.006</t>
  </si>
  <si>
    <t>03-U.2.02.01.03.999</t>
  </si>
  <si>
    <t xml:space="preserve">32-U.1.03.01.02.999                               </t>
  </si>
  <si>
    <t xml:space="preserve">32-U.1.03.01.02.007                               </t>
  </si>
  <si>
    <t xml:space="preserve">32-U.1.03.01.02.007/07                            </t>
  </si>
  <si>
    <t xml:space="preserve">32-U.1.03.01.02.002/03                            </t>
  </si>
  <si>
    <t>Centri visitatori e Riserve Naturali in gestione - Investimenti per la valorizzazione prioritari</t>
  </si>
  <si>
    <t>acqusito materiale per interventi in amministrazione diretta per la realizzazione di migliorie interne ed esterne al Museo dell'Uomo in Cansiglio</t>
  </si>
  <si>
    <t>36-U.2.02.03.06.001</t>
  </si>
  <si>
    <t>Realizzazione audioguide MAV  (prevedere App QRCODE)</t>
  </si>
  <si>
    <t>realizzazione di punti informativi (modelli, plastici, info point) nel Centro Visitatori e Museo Ambientale di Vallevecchia</t>
  </si>
  <si>
    <t>19-U.2.02.01.99.999</t>
  </si>
  <si>
    <t>SEZIONE RICERCA E GESTIONI AGROFORESTALI</t>
  </si>
  <si>
    <t>DIREZIONE SEZ.RICERCA E GEST.AGROFORESTALI</t>
  </si>
  <si>
    <t>Assistenza alla Progettazione Europea</t>
  </si>
  <si>
    <t>Assistenza specialistica per progetti LIFE come Partner (ipotizzati 3 progetti con un costo unitario di 1.000€/progetto</t>
  </si>
  <si>
    <t>51-U.1.03.02.11.009/01</t>
  </si>
  <si>
    <t>Assistenza specialistica per progetti INTERREG come Leader (ipotizzati 5 progetti con un costo unitario di 5.000 €/progetto</t>
  </si>
  <si>
    <t>Assistenza specialistica per progetti INTERREG come Partner (ipotizzati 10 progetti con un costo unitario di 0€/progetto</t>
  </si>
  <si>
    <t>Assistenza specialistica per progetti HORIZON come Partner (ipotizzati 10 progetti con un costo unitario di 1.800€/progetto</t>
  </si>
  <si>
    <t>Assistenza specialistica per progetti LIFE come Leader (ipotizzati 2 progetti con un costo unitario di 6.000€/progetto</t>
  </si>
  <si>
    <t>Assistenza di base alla progettazione europea (ipotizzate 200 ore a 80€/ora)</t>
  </si>
  <si>
    <t>35-U.2.02.03.05.001</t>
  </si>
  <si>
    <t>SETTORE ATTIVITA' FORESTALI</t>
  </si>
  <si>
    <t>Interventi di ristrutturazione del fabbricato Casa Vallorch in Cansiglio e risarcimento del danno di incendio</t>
  </si>
  <si>
    <t>Servizi Tecnico-professionali  per valutazioni agibilità e per progettazione e DL</t>
  </si>
  <si>
    <t>Centro Cansiglio - Attività ordinaria di Utilizzazioni forestali</t>
  </si>
  <si>
    <t>Accantonamento fondo Uttilizzazioni boschive</t>
  </si>
  <si>
    <t>85-U.1.10.01.99.999</t>
  </si>
  <si>
    <t xml:space="preserve"> DPI-vestiario</t>
  </si>
  <si>
    <t>acquisto materiale forestale vario</t>
  </si>
  <si>
    <t>32-U.1.03.01.02.007/06</t>
  </si>
  <si>
    <t>Carburanti e lubrificanti</t>
  </si>
  <si>
    <t>DPI- materiale</t>
  </si>
  <si>
    <t>32-U.1.03.01.02.003/01</t>
  </si>
  <si>
    <t>Riparazione attrezzature</t>
  </si>
  <si>
    <t>49-U.1.03.02.09.005/01</t>
  </si>
  <si>
    <t>Servzio lavorazione boschiva e trasporto tronchi di faggio per Itlas</t>
  </si>
  <si>
    <t>53-U.1.03.02.13.999/02</t>
  </si>
  <si>
    <t>Centro Cansiglio - Attività ordinaria di Falegnameria</t>
  </si>
  <si>
    <t>DPI-vestiario</t>
  </si>
  <si>
    <t>DPI-materiale</t>
  </si>
  <si>
    <t>Acquisto impregnanti per legno e ferramenta varia</t>
  </si>
  <si>
    <t>Acquisto piccole attrezzature</t>
  </si>
  <si>
    <t>Acquisto materiali per piccole riparazioni</t>
  </si>
  <si>
    <t>Manutenzione impianti</t>
  </si>
  <si>
    <t>Manutenzione macchine da falegnameria</t>
  </si>
  <si>
    <t>Acquisto legname multistrato e compensato</t>
  </si>
  <si>
    <t>Centro Cansiglio - Attività ordinaria di Gestione fabbricati e suolo demaniale in concessione</t>
  </si>
  <si>
    <t>Fondo accantonamento proventi da funghi</t>
  </si>
  <si>
    <t>Centro Cansiglio - Attività ordinaria di Manutenzioni ambientali e viabilità</t>
  </si>
  <si>
    <t>Ferramenta</t>
  </si>
  <si>
    <t>Noleggio macchinari per manutenzioni</t>
  </si>
  <si>
    <t>Materiale edile vario</t>
  </si>
  <si>
    <t>Manutenzione e riparazione attrezzature</t>
  </si>
  <si>
    <t>Centro Cansiglio - Attività Ordinaria di gestione Area di Sosta</t>
  </si>
  <si>
    <t>Gestione area di sosta</t>
  </si>
  <si>
    <t>53-U.1.03.02.13.999/06</t>
  </si>
  <si>
    <t>Spese amministrative</t>
  </si>
  <si>
    <t>Materiale di consumo vario</t>
  </si>
  <si>
    <t>Centro Cansiglio - Spese generali relative alle Attività Ordinarie</t>
  </si>
  <si>
    <t>Tasse</t>
  </si>
  <si>
    <t>Tassa circolazione veicoli</t>
  </si>
  <si>
    <t>Manutenzione autovetture</t>
  </si>
  <si>
    <t>Rifiuti</t>
  </si>
  <si>
    <t>Manutenzione autocarri</t>
  </si>
  <si>
    <t>Manutenzione ordinaria fabbricati istituzionali</t>
  </si>
  <si>
    <t>Marche da bollo</t>
  </si>
  <si>
    <t>Telepass</t>
  </si>
  <si>
    <t>Servizio paghe operai</t>
  </si>
  <si>
    <t>Manutenzione macchine per ufficio</t>
  </si>
  <si>
    <t>49-U.1.03.02.09.006</t>
  </si>
  <si>
    <t>Manutenzione macchine agro-forestali</t>
  </si>
  <si>
    <t>Carburanti autovetture</t>
  </si>
  <si>
    <t>Carburanti autocarri</t>
  </si>
  <si>
    <t>GPL</t>
  </si>
  <si>
    <t>32-U.1.03.01.02.004/02</t>
  </si>
  <si>
    <t>Accessori per uffcio e alloggi</t>
  </si>
  <si>
    <t>Materiale per pulizia</t>
  </si>
  <si>
    <t>Servizio noleggio fotocopiatore</t>
  </si>
  <si>
    <t>Assicurazioni rc terzi</t>
  </si>
  <si>
    <t>Assicurazioni immobili</t>
  </si>
  <si>
    <t>Spese per servizi amministrativi</t>
  </si>
  <si>
    <t>Servizio smaltimento rifiuti aree pic-nic</t>
  </si>
  <si>
    <t>Centro di Verona  - Attività selvicolturali sul Demanio Forestale Regionale</t>
  </si>
  <si>
    <t>Fondo accantonamento Utilizzazioni Boschive</t>
  </si>
  <si>
    <t>Carburante per attrezzature forestali (motoseghe e decespugliatori)</t>
  </si>
  <si>
    <t>Materiale vario di consumo</t>
  </si>
  <si>
    <t>Centro di Verona - Manutenzioni ambientali Forestali</t>
  </si>
  <si>
    <t>Materiali edili e di ferramenta per cantieri</t>
  </si>
  <si>
    <t>Noleggi</t>
  </si>
  <si>
    <t>53-U.1.03.02.13.003/01</t>
  </si>
  <si>
    <t>Equipaggiamento antinfortunistico</t>
  </si>
  <si>
    <t>Centro di Verona - Gestione fabbricati e suolo demaniale in gestione</t>
  </si>
  <si>
    <t>Manutenzione attrezzature  fabbricati</t>
  </si>
  <si>
    <t>Manutenzioni ai fabbricati demaniali</t>
  </si>
  <si>
    <t>Centro di Verona - Spese Generali relative alle attività ordinarie</t>
  </si>
  <si>
    <t>Manutenzione mezzi</t>
  </si>
  <si>
    <t>Canone acqua</t>
  </si>
  <si>
    <t>Sorveglianza ufficio e magazzino</t>
  </si>
  <si>
    <t>Pulizie ufficio</t>
  </si>
  <si>
    <t>Commissioni bancarie</t>
  </si>
  <si>
    <t>Gas ufficio e magazzino</t>
  </si>
  <si>
    <t>Assicurazione beni immobili</t>
  </si>
  <si>
    <t>Servizio paghe O.T.D.</t>
  </si>
  <si>
    <t>Cancelleria e stampati</t>
  </si>
  <si>
    <t>Carta per fotocopie</t>
  </si>
  <si>
    <t>32-U.1.03.01.02.001/01</t>
  </si>
  <si>
    <t>Tasse automobilistiche</t>
  </si>
  <si>
    <t>Tassa passo carraio ufficio</t>
  </si>
  <si>
    <t>17-U.1.02.01.07.001</t>
  </si>
  <si>
    <t>Affitto magazzino Selva di Progno e garage Malcesine</t>
  </si>
  <si>
    <t>47-U.1.03.02.07.001</t>
  </si>
  <si>
    <t>Spese di viaggio per missioni</t>
  </si>
  <si>
    <t>Incarichi professionali</t>
  </si>
  <si>
    <t>Manutenzione piccole attrezzature</t>
  </si>
  <si>
    <t>Assicurazione responsabilità civile verso terzi</t>
  </si>
  <si>
    <t>Accessori per ufficio</t>
  </si>
  <si>
    <t>Noleggio fotocopiatore ufficio</t>
  </si>
  <si>
    <t>Acquisto marche da bollo e imposta di registro</t>
  </si>
  <si>
    <t>Manutenzione macchine da ufficio</t>
  </si>
  <si>
    <t>Verifica sicurezza canne fumarie fabbricati nelle foreste demaniali</t>
  </si>
  <si>
    <t>Incarico per analisi preliminare per gli adeguamenti delle canne fumarie di alcuni fabbricati demaniali</t>
  </si>
  <si>
    <t>Centro per la Biodiversità V. e F.F. - Attività ordinaria vivaistica Montecchio Precalcino</t>
  </si>
  <si>
    <t>33-U.1.03.01.03.002</t>
  </si>
  <si>
    <t>ALTRI BENI</t>
  </si>
  <si>
    <t>ACCESS.X UFFICI</t>
  </si>
  <si>
    <t>EQUIPAGGIAMENTO</t>
  </si>
  <si>
    <t>CARBURANTI</t>
  </si>
  <si>
    <t>PUBBLICAZIONI</t>
  </si>
  <si>
    <t>BOLLO AUTO</t>
  </si>
  <si>
    <t>RIMB.SP.VIAGGIO</t>
  </si>
  <si>
    <t>IMP.BOLLO</t>
  </si>
  <si>
    <t>CARTA</t>
  </si>
  <si>
    <t>TASSA SMAL.RIFIUTI</t>
  </si>
  <si>
    <t>ASSICURAZIONI RC TERZI</t>
  </si>
  <si>
    <t>ASSICURAZIONI BENI IMMOBILI</t>
  </si>
  <si>
    <t>TASSE</t>
  </si>
  <si>
    <t>SP.POSTALI</t>
  </si>
  <si>
    <t>FORMAZ.OBBL.</t>
  </si>
  <si>
    <t>ALTRE PREST.PROF.</t>
  </si>
  <si>
    <t>MAN.BENI IMM.</t>
  </si>
  <si>
    <t>ACQUA</t>
  </si>
  <si>
    <t>MAN.MACCH.UFFICO</t>
  </si>
  <si>
    <t>EN.ELETTRICA</t>
  </si>
  <si>
    <t>TELEPASS</t>
  </si>
  <si>
    <t>MANUT.MEZZI TRASP.</t>
  </si>
  <si>
    <t>MAN.IMP.MACCH.</t>
  </si>
  <si>
    <t>TELEF.FISSA</t>
  </si>
  <si>
    <t>MAN.ATTREZZ.</t>
  </si>
  <si>
    <t>Centro per la Biodiversità V. e F.F. - Attività ordinaria vivaistica Pian dei Spini</t>
  </si>
  <si>
    <t>RIMB.SPESE VIAGGIO</t>
  </si>
  <si>
    <t>FORMAZ.OBBLIG.</t>
  </si>
  <si>
    <t>ALTRI MAT.CONSUMO</t>
  </si>
  <si>
    <t>ASSICURAZIONI beni immobili</t>
  </si>
  <si>
    <t>ALTRI  MAT.TECNICI</t>
  </si>
  <si>
    <t>RIFIUTI</t>
  </si>
  <si>
    <t>MAN.MACC.UFFICIO</t>
  </si>
  <si>
    <t>Mantenimento della certificazione di gestione forestale sostenibile PEFC ed estensione allo schema FSC per i boschi di pianura</t>
  </si>
  <si>
    <t>Adesione all'Associazione PEFC Italia, al gruppo Veneto di neo costituzione e spese di certificazione</t>
  </si>
  <si>
    <t>53-U.1.03.02.13.999/10</t>
  </si>
  <si>
    <t>Adesione all'Associazione Forestale di Pianura e implementazione certificazione FSC</t>
  </si>
  <si>
    <t>Centro per la Biodiversità V. e F.F. - Marchio "Floraveneta"</t>
  </si>
  <si>
    <t>spese per deposito marchio</t>
  </si>
  <si>
    <t>51-U.1.03.02.11.010</t>
  </si>
  <si>
    <t>redazione disciplinare, manuale d'uso, sistema di controllo, logo ecc.</t>
  </si>
  <si>
    <t>AGROFORESTRY - Agroforestazione dimostrativa</t>
  </si>
  <si>
    <t>32-U.1.03.01.02.007/04</t>
  </si>
  <si>
    <t>acqua</t>
  </si>
  <si>
    <t>Centro Cansiglio e Centro di Verona - Investimenti prioritari</t>
  </si>
  <si>
    <t>acquisto segheria mobile Cansiglio</t>
  </si>
  <si>
    <t>04-U.2.02.01.04.001</t>
  </si>
  <si>
    <t>redazione perizia tecnica per messa a norma Ragno Verona</t>
  </si>
  <si>
    <t>Centro per la Biodiversità Vivaistica e Fuori Foresta di Montecchio P.no - Investimenti Prioritari</t>
  </si>
  <si>
    <t>09-U.2.02.01.09.014</t>
  </si>
  <si>
    <t>dosatrice concime, decespugliatori, cella con T e Ur controllate per semi</t>
  </si>
  <si>
    <t>SETTORE BIOENERGIE E CAMBIAMENTO CLIMATICO</t>
  </si>
  <si>
    <t>NITRANT II - "Antenna Nitrati e percorsi di gestione integrata degli effluenti zootecnici"</t>
  </si>
  <si>
    <t>Servizio di mantenimento e aggiornamento moduli sito RiducaReflui</t>
  </si>
  <si>
    <t>53-U.1.03.02.13.999/15</t>
  </si>
  <si>
    <t>51-U.1.03.02.11.009/02</t>
  </si>
  <si>
    <t>Bioenergie - Investimenti prioritari</t>
  </si>
  <si>
    <t>Strumenti e attrezzature scietifiche per monitoraggio sostanze organiche e biodversità suoli (spostati da scheda 36 VABIOGAS II)</t>
  </si>
  <si>
    <t>SETTORE CENTRI SPERIMENTALI</t>
  </si>
  <si>
    <t>Centro Po di Tramontana - Gestione attività ordinaria del centro Ortofloricolo</t>
  </si>
  <si>
    <t>spese postali</t>
  </si>
  <si>
    <t>Manutenzione macchine ufficio</t>
  </si>
  <si>
    <t>Assicurazione RC</t>
  </si>
  <si>
    <t>Assicurazioni su beni immobili</t>
  </si>
  <si>
    <t>derattizzazione</t>
  </si>
  <si>
    <t>53-U.1.03.02.13.999/09</t>
  </si>
  <si>
    <t>51-U.1.03.02.11.999/01</t>
  </si>
  <si>
    <t>lavorazioni c/terzisti</t>
  </si>
  <si>
    <t>costi corriere</t>
  </si>
  <si>
    <t>53-U.1.03.02.13.999/13</t>
  </si>
  <si>
    <t>smaltimento rifiuti speciali</t>
  </si>
  <si>
    <t>spese POS</t>
  </si>
  <si>
    <t>Materiale edile</t>
  </si>
  <si>
    <t>Impollinanti, disinfettanti serre, ecc.</t>
  </si>
  <si>
    <t>Attrezzature ufficio</t>
  </si>
  <si>
    <t>Vestiario antinfortunistica</t>
  </si>
  <si>
    <t>Materiale antinfortunistica</t>
  </si>
  <si>
    <t>Gasolio riscaldamento uffici</t>
  </si>
  <si>
    <t>Imposta registro e bollo</t>
  </si>
  <si>
    <t>Carburanti lubrificanti auto</t>
  </si>
  <si>
    <t>Teli e reti</t>
  </si>
  <si>
    <t>Contributi consortili</t>
  </si>
  <si>
    <t>Bolli auto, furgoni, Api</t>
  </si>
  <si>
    <t>TARI</t>
  </si>
  <si>
    <t>Carta</t>
  </si>
  <si>
    <t>Carburanti lubrificanti furgoni</t>
  </si>
  <si>
    <t>Abbonamento WIN BDF</t>
  </si>
  <si>
    <t>Manutenzione Macchine Agricole</t>
  </si>
  <si>
    <t>Manutenzione Api</t>
  </si>
  <si>
    <t>49-U.1.03.02.09.001/09</t>
  </si>
  <si>
    <t>Manutenzione furgoni</t>
  </si>
  <si>
    <t>Noleggio macchine agricole</t>
  </si>
  <si>
    <t>Noleggio fotocopiatore</t>
  </si>
  <si>
    <t>Vasi, conteniori, imballaggi vari</t>
  </si>
  <si>
    <t>Attrezzature Agricole/Officina</t>
  </si>
  <si>
    <t>Formazione obbligatoria</t>
  </si>
  <si>
    <t>Spese viaggio</t>
  </si>
  <si>
    <t>Ferramenta, tabelle, etichette e altro materiale vario</t>
  </si>
  <si>
    <t>Materiali per riparazioni e manutenzioni</t>
  </si>
  <si>
    <t>Materiale pulizie</t>
  </si>
  <si>
    <t>Manutenzione attrezzature agricole</t>
  </si>
  <si>
    <t>Manutenzione attrezzature di laboratorio</t>
  </si>
  <si>
    <t>Canone RAI e ANAC</t>
  </si>
  <si>
    <t>Centro Po di Tramontana - Innovazioni tecnologiche e riduzione degli input</t>
  </si>
  <si>
    <t>Gasolio per riscaldamento serre</t>
  </si>
  <si>
    <t>Sementi</t>
  </si>
  <si>
    <t>32-U.1.03.01.02.007/01</t>
  </si>
  <si>
    <t>Impollinanti, disinfettanti e mat.vario</t>
  </si>
  <si>
    <t>Diserbanti antiparassitari e fitofarmaci</t>
  </si>
  <si>
    <t>32-U.1.03.01.02.007/02</t>
  </si>
  <si>
    <t>Concimi e ammendanti</t>
  </si>
  <si>
    <t>32-U.1.03.01.02.007/03</t>
  </si>
  <si>
    <t>Terricci e substrati</t>
  </si>
  <si>
    <t>Piante e parti di piante</t>
  </si>
  <si>
    <t>33-U.1.03.01.03.002/01</t>
  </si>
  <si>
    <t>Lavorazioni c/terzi</t>
  </si>
  <si>
    <t>Analisi di laboratorio</t>
  </si>
  <si>
    <t>Centro Po di Tramontana - Conservazione e valorizzazione delle biodiversità orto-floricole</t>
  </si>
  <si>
    <t>Vetreria e accessori laboratorio</t>
  </si>
  <si>
    <t>32-U.1.03.01.02.008/02</t>
  </si>
  <si>
    <t>Diserbanti, antiparassitari e fitofarmaci</t>
  </si>
  <si>
    <t>Materiale laboratorio</t>
  </si>
  <si>
    <t>Centro Pradon - Attività ordinaria del Centro Sperimentale Frutticolo</t>
  </si>
  <si>
    <t>serv.analisi</t>
  </si>
  <si>
    <t>altre prest.prof.specialistiche</t>
  </si>
  <si>
    <t>manut.ord.beni immobili</t>
  </si>
  <si>
    <t>manut.ord.rip.macch.ufficio</t>
  </si>
  <si>
    <t>manut.ord.attrez.agr.forestali</t>
  </si>
  <si>
    <t>manut.ord.impianti</t>
  </si>
  <si>
    <t>smalt.rifiuti speciali</t>
  </si>
  <si>
    <t>manut.autov.autocarri</t>
  </si>
  <si>
    <t>manut.macch.agricole forestali</t>
  </si>
  <si>
    <t>serv.spedizioni</t>
  </si>
  <si>
    <t>altre spese x serv.amm.vi</t>
  </si>
  <si>
    <t>Imposta comunale sulla pubblicità e diritto sulle pubbliche affissioni</t>
  </si>
  <si>
    <t>ontributi Consortili,</t>
  </si>
  <si>
    <t>carburanti autovetture/autocarri</t>
  </si>
  <si>
    <t>Tassa di circolazione dei veicoli a motore (tassa automobilistica)</t>
  </si>
  <si>
    <t>sementi</t>
  </si>
  <si>
    <t>carta</t>
  </si>
  <si>
    <t>cancelleria</t>
  </si>
  <si>
    <t>carburanti macchine agricole</t>
  </si>
  <si>
    <t>acq.materiale antifortunistica</t>
  </si>
  <si>
    <t>acq.vestiario antifortunistica</t>
  </si>
  <si>
    <t>utenze e altri canoni</t>
  </si>
  <si>
    <t>diserbanti</t>
  </si>
  <si>
    <t>concimi</t>
  </si>
  <si>
    <t>terriccio</t>
  </si>
  <si>
    <t>acq.piccole attrezzature</t>
  </si>
  <si>
    <t>acq.piante</t>
  </si>
  <si>
    <t>Canoni Servizio TELEPASS per autovetture e autocarri</t>
  </si>
  <si>
    <t>mat.laboratorio</t>
  </si>
  <si>
    <t>assicurazione colture</t>
  </si>
  <si>
    <t>assicurazioni mobili e immobili -contratti fatti da sede centrale</t>
  </si>
  <si>
    <t>86-U.1.10.04.01.001</t>
  </si>
  <si>
    <t>servizo tenuta paghe</t>
  </si>
  <si>
    <t>Centro Pradon - Attività di Selezione Genetico-Sanitaria dei fruttiferi</t>
  </si>
  <si>
    <t>Convenzione con CreA Frutticoltura di Forlì</t>
  </si>
  <si>
    <t>Centro Pradon - Attività di Selezione Genetico-Sanitaria della vite</t>
  </si>
  <si>
    <t>Convenzione con Università di Udine</t>
  </si>
  <si>
    <t>COSTO OTI</t>
  </si>
  <si>
    <t>Centro Pradon - Gestione Screen-House vite e fruttiferi</t>
  </si>
  <si>
    <t>Centro Pradon - Gestione campi di vite di categoria Base X Certificato</t>
  </si>
  <si>
    <t>Centro Pradon  - Gestione campo di vite di categoria iniziale</t>
  </si>
  <si>
    <t>Centro Pradon - tecniche di propagazione di nuove specie frutticole</t>
  </si>
  <si>
    <t>materiali</t>
  </si>
  <si>
    <t>Centro di Conegliano - Attività ordinaria Vitivinicola</t>
  </si>
  <si>
    <t>45-U.1.03.02.05.999/09</t>
  </si>
  <si>
    <t>Manutenzione ordinaria e riparazione macchinari</t>
  </si>
  <si>
    <t>Manutenzione ordinaria e riparazione di impianti e macchinari</t>
  </si>
  <si>
    <t>Manutenzione ordinaria e riparazione autovetture e furgone</t>
  </si>
  <si>
    <t>Ferramenta e materiali vari di consumo</t>
  </si>
  <si>
    <t>Carta, cancelleria, cartucce stampanti</t>
  </si>
  <si>
    <t>Tassa di circolazione dei veicoli a motore</t>
  </si>
  <si>
    <t>Tassa/ tariffa smaltimento rifiuti solidi urbani</t>
  </si>
  <si>
    <t>Premi ed assicurazioni su beni immobili</t>
  </si>
  <si>
    <t>Carburanti e lubrificanti autovetture</t>
  </si>
  <si>
    <t>Dichiarazione MUD</t>
  </si>
  <si>
    <t>Servizio smaltimanto rifiuti speciali ed eventuali analisi</t>
  </si>
  <si>
    <t>noleggio fotocopiatore</t>
  </si>
  <si>
    <t>Servizio di pulizia</t>
  </si>
  <si>
    <t>Centro di Conegliano - Attività di verifica del comportamento enologico produttivo di varietà di vite "resistenti ai funghi" diffusi nel territorio regionale</t>
  </si>
  <si>
    <t>Kit analisi enologiche, materiale di laboratorio</t>
  </si>
  <si>
    <t>Acquisto gas</t>
  </si>
  <si>
    <t>bottiglie e materiale vario</t>
  </si>
  <si>
    <t>07</t>
  </si>
  <si>
    <t>Centri Sperimentali Po di tramontana e Conegliano - Investimenti prioritari</t>
  </si>
  <si>
    <t>sostituzione pompa travaso vino per CeRVEG Conegliano</t>
  </si>
  <si>
    <t>sostituzione idropressa 90lt per CeRVEG Conegliano</t>
  </si>
  <si>
    <t>sostituzione idropressa 180lt per CeRVEG Conegliano</t>
  </si>
  <si>
    <t>Incarico a tecnico per predisposizione relazione e progetto per CPI Po di Tramontana</t>
  </si>
  <si>
    <t>sostituzione della pigiadiraspatrice per CeRVEG Conegliano</t>
  </si>
  <si>
    <t>Vigneto Sperimentale dimostrativo dell'Azienda Diana per la viticoltura sostenibile - Investimenti prioritari</t>
  </si>
  <si>
    <t>SETTORE RICERCA AGRARIA</t>
  </si>
  <si>
    <t>Bollettino Colture Erbacee</t>
  </si>
  <si>
    <t>Confronto Varietale Soia e di Frumento tenero e duro</t>
  </si>
  <si>
    <t>Agricoltura conservativa prosecuzione attività sperimentale su appezzamenti di lungo periodo (ex MIS. 2014i - azioni 1 e 2) non interessati dal progetto LIFE HELPSOIL</t>
  </si>
  <si>
    <t>analisi micotossine su cereali</t>
  </si>
  <si>
    <t>Oneri per Domande Premio Unico, PSR e altri adempimenti in campo agricolo</t>
  </si>
  <si>
    <t xml:space="preserve"> Azienda Diana - Attività Ordinaria Seminativi e aree Boscate</t>
  </si>
  <si>
    <t>ASSICURAZIONI SEMINATIVI</t>
  </si>
  <si>
    <t>CARB.MACCH.AGRICOLE</t>
  </si>
  <si>
    <t>DISERBANTI</t>
  </si>
  <si>
    <t>CONCIMI</t>
  </si>
  <si>
    <t>ACQ.MATERIALI FORESTALI</t>
  </si>
  <si>
    <t>SERV.TRASPORTO/TRASLOCO/FACCHINI</t>
  </si>
  <si>
    <t>LAVORAZ.C/TERZISTI</t>
  </si>
  <si>
    <t xml:space="preserve"> Azienda Diana - Attività ordinaria Vigneto</t>
  </si>
  <si>
    <t>Azienda Diana - Spese Generali relative alle Attività Ordinarie</t>
  </si>
  <si>
    <t>MANUT.MACCH.UFFICIO</t>
  </si>
  <si>
    <t>MANUT.MACCHINE AGRICOLE</t>
  </si>
  <si>
    <t>MANUT.AUTO</t>
  </si>
  <si>
    <t>MANUT.IMPIANTI</t>
  </si>
  <si>
    <t>TELEFONIA FISSA</t>
  </si>
  <si>
    <t>MANUT.ATTREZ.AGRICOLE</t>
  </si>
  <si>
    <t>VESTIARIO ANTIFORTUNISTICO</t>
  </si>
  <si>
    <t>SERV.SMALT.RIFIUTI SPECIALI</t>
  </si>
  <si>
    <t>SERV.PULIZIA</t>
  </si>
  <si>
    <t>TASSA RIFIUTI</t>
  </si>
  <si>
    <t>IMPOSTE E TASSE - CONTRIBUTI CONSORTILI</t>
  </si>
  <si>
    <t>CANCELLERIA</t>
  </si>
  <si>
    <t>ACQ.IMBALLI</t>
  </si>
  <si>
    <t>MAT.ANTIFORTUNISTICO</t>
  </si>
  <si>
    <t>RIMB.SPESE VIAGGIO - OPERAI</t>
  </si>
  <si>
    <t>ALTRO TIPO VESTIARIO</t>
  </si>
  <si>
    <t>ACQ.MATERIALE EDILE</t>
  </si>
  <si>
    <t>ACQ.TELI E RETI</t>
  </si>
  <si>
    <t>ACQ.MAT.PULIZIE</t>
  </si>
  <si>
    <t>ACQ.MATER.X RIPARAZIONI</t>
  </si>
  <si>
    <t>ACQ.MAT.CONSUMO</t>
  </si>
  <si>
    <t>CARBURANTI AUTO</t>
  </si>
  <si>
    <t>MANUT.IMMOBILI</t>
  </si>
  <si>
    <t>QUOTE ASSOCIAZIONI</t>
  </si>
  <si>
    <t>SPESE POSTALI</t>
  </si>
  <si>
    <t>ACQ.TERRICCIO</t>
  </si>
  <si>
    <t>NOL.IMP.MACCHINARI</t>
  </si>
  <si>
    <t>ACQ.PICCOLE ATTREZZATURE</t>
  </si>
  <si>
    <t>Az. Sasse Rami - Attività ordinaria Seminativi</t>
  </si>
  <si>
    <t>Az. Sasse - Frutticoltura: orientamento varietale, certificazione genetica, biodiversità</t>
  </si>
  <si>
    <t>Az. Sasse - Biodiversità avicola - anno 2018</t>
  </si>
  <si>
    <t>51-U.1.03.02.11.009/03</t>
  </si>
  <si>
    <t>manutenzione ordinaria e riparazione di macchine e impianti</t>
  </si>
  <si>
    <t>Azienda Sasse Rami - Spese Generali relative alle Attività Ordinarie</t>
  </si>
  <si>
    <t>Servizio di Pulizie</t>
  </si>
  <si>
    <t>Manutenzione macchine agricole</t>
  </si>
  <si>
    <t>Servizi vari</t>
  </si>
  <si>
    <t>Manutenzione macch.ufficio</t>
  </si>
  <si>
    <t>Manutenzione attrezz.agricole</t>
  </si>
  <si>
    <t>Altre spese</t>
  </si>
  <si>
    <t>Acquisto materiale vario</t>
  </si>
  <si>
    <t>Tassa di circolazione</t>
  </si>
  <si>
    <t>Imposte e Tasse (contributi consortili)</t>
  </si>
  <si>
    <t>Pubblicazioni</t>
  </si>
  <si>
    <t>Combustibili per Riscaldamento (GPL)</t>
  </si>
  <si>
    <t>Assicurazioni RCA</t>
  </si>
  <si>
    <t>Servizio Sorveglianza</t>
  </si>
  <si>
    <t>Equipaggiamento (DPI operai)</t>
  </si>
  <si>
    <t>Azienda Valle vecchia - Attività Ordinaria Seminativi ed altro</t>
  </si>
  <si>
    <t>servizio di cippatura</t>
  </si>
  <si>
    <t>manutenzione ordinaria e riparazioni / attrezzature</t>
  </si>
  <si>
    <t>manutenzioni ordinarie e riparazioni / trattori  e impianti</t>
  </si>
  <si>
    <t xml:space="preserve">47-U.1.03.02.07.008                               </t>
  </si>
  <si>
    <t>Servizi ausiliari (trasporti)</t>
  </si>
  <si>
    <t xml:space="preserve">53-U.1.03.02.13.003                               </t>
  </si>
  <si>
    <t>equipaggiamento</t>
  </si>
  <si>
    <t xml:space="preserve">32-U.1.03.01.02.003                               </t>
  </si>
  <si>
    <t>servizi ausiliari (terzisti)</t>
  </si>
  <si>
    <t>prestazioni professionali</t>
  </si>
  <si>
    <t>manutenzioni ordinarie e riparazioni / varie</t>
  </si>
  <si>
    <t>carburanti e lubrificanti per manutenzioni ambientale</t>
  </si>
  <si>
    <t>carburanti e lubrificanti agricoli e attrezzature</t>
  </si>
  <si>
    <t>mezzi tecnici per seminativi</t>
  </si>
  <si>
    <t>servizi esterni</t>
  </si>
  <si>
    <t>altri materiali di consumo</t>
  </si>
  <si>
    <t>Azienda Vallevecchia - Attività Ordinaria gestione del Parcheggio</t>
  </si>
  <si>
    <t>tassa rifiuti solidi urbani</t>
  </si>
  <si>
    <t>Azienda Vallevecchia - Attività Ordinaria Gestione Impianti innovativi per la risorsa acqua</t>
  </si>
  <si>
    <t>manutenzione terza pompa di carico</t>
  </si>
  <si>
    <t>manutenzione inverter e pompa irrigazione</t>
  </si>
  <si>
    <t>manutenzione cabine alternatori</t>
  </si>
  <si>
    <t>Azienda Valle vecchia - Attività Ordinaria Spese Generali</t>
  </si>
  <si>
    <t>utenze / energia elettrica</t>
  </si>
  <si>
    <t>cancelleria ufficio</t>
  </si>
  <si>
    <t>utenze / acqua</t>
  </si>
  <si>
    <t>utenze / telefonia fissa</t>
  </si>
  <si>
    <t>telepass</t>
  </si>
  <si>
    <t>rimborsi viaggio operai</t>
  </si>
  <si>
    <t>assicurazioni (immobili)</t>
  </si>
  <si>
    <t>assicurazioni (verso terzi)</t>
  </si>
  <si>
    <t>utenze / canoni vari</t>
  </si>
  <si>
    <t>formazione specialistica per operai</t>
  </si>
  <si>
    <t>servizio tenuta paghe operai</t>
  </si>
  <si>
    <t>manutenzioni attrezzature ufficio</t>
  </si>
  <si>
    <t>acquisto attrezzature ufficio</t>
  </si>
  <si>
    <t>tasse e contributi consortili</t>
  </si>
  <si>
    <t>tasse automobilistiche</t>
  </si>
  <si>
    <t>carburanti autovetture</t>
  </si>
  <si>
    <t>carburanti autocarri</t>
  </si>
  <si>
    <t>accessori ufficio e alloggi</t>
  </si>
  <si>
    <t>Azienda Villiago - Attività ordinaria prati, pascoli, frutteto, seminativi, allevamenti</t>
  </si>
  <si>
    <t>materiali per recinzioni e manutenzione recinti di pascolo (reti, pali, banda elettrificata, batterie, ecc.) piccola ferramenta,</t>
  </si>
  <si>
    <t>manutenzione ordinaria-riparazioni macchine per ufficio</t>
  </si>
  <si>
    <t xml:space="preserve">49-U.1.03.02.09.006                               </t>
  </si>
  <si>
    <t>manutenzione ordinaria beni immobili (edifici)</t>
  </si>
  <si>
    <t xml:space="preserve">49-U.1.03.02.09.008                               </t>
  </si>
  <si>
    <t>manutenzione ordinaria attrezzature</t>
  </si>
  <si>
    <t xml:space="preserve">49-U.1.03.02.09.005/01                            </t>
  </si>
  <si>
    <t>manutenzione auto aziendali (pick-up + vettura)</t>
  </si>
  <si>
    <t xml:space="preserve">49-U.1.03.02.09.001/02                            </t>
  </si>
  <si>
    <t>manutenzione ordinaria macchine agricole (quota minima a causa dell'obsolescenza di diversi mezzi)</t>
  </si>
  <si>
    <t xml:space="preserve">49-U.1.03.02.09.004/01                            </t>
  </si>
  <si>
    <t>noleggio attrezzature agricolo-forestali</t>
  </si>
  <si>
    <t xml:space="preserve">47-U.1.03.02.07.008/02                            </t>
  </si>
  <si>
    <t>utenze e canoni (telefono fisso aziendale, energia elettrica, acqua)</t>
  </si>
  <si>
    <t>servizio paghe per operai</t>
  </si>
  <si>
    <t xml:space="preserve">51-U.1.03.02.11.008/01                            </t>
  </si>
  <si>
    <t>acquisto di riproduttori per "rinsanguamento" nuclei in conservazione di ovini e bovini</t>
  </si>
  <si>
    <t xml:space="preserve">33-U.1.03.01.03.001                               </t>
  </si>
  <si>
    <t>piccole attrezzature per allevamento o frutticoltura</t>
  </si>
  <si>
    <t xml:space="preserve">32-U.1.03.01.02.008/01                            </t>
  </si>
  <si>
    <t>sementi, fertilizzanti organici, fitofarmaci, mangimi biologii,</t>
  </si>
  <si>
    <t>vestiario e materiali DPI antinfortunistica</t>
  </si>
  <si>
    <t>accessori per ufficio</t>
  </si>
  <si>
    <t>carburanti e lubrificanti</t>
  </si>
  <si>
    <t>carta, cancelleria</t>
  </si>
  <si>
    <t>04</t>
  </si>
  <si>
    <t>assicurazione colture avversità atmosferiche</t>
  </si>
  <si>
    <t xml:space="preserve">86-U.1.10.04.01.999                               </t>
  </si>
  <si>
    <t>farmaci - vaccini e prodotti veterinari</t>
  </si>
  <si>
    <t xml:space="preserve">35-U.1.03.01.05.007                               </t>
  </si>
  <si>
    <t>smaltimento rifiuti agricoli speciali o pericolosi</t>
  </si>
  <si>
    <t xml:space="preserve">53-U.1.03.02.13.999/07                            </t>
  </si>
  <si>
    <t>sevizi per l'allevamento  obbligatori da parte di Enti autorizzati (ASL, ARAV; ecc.)</t>
  </si>
  <si>
    <t xml:space="preserve">53-U.1.03.02.13.999/14                            </t>
  </si>
  <si>
    <t>servizio certificazione sistema produzione biologico</t>
  </si>
  <si>
    <t>lavori in c/terzi (trebbiatura cereali, imballatura foraggio, andanatura, ecc.)</t>
  </si>
  <si>
    <t xml:space="preserve">53-U.1.03.02.13.999/02                            </t>
  </si>
  <si>
    <t>prestazioni professionali specialistiche  (veterinario, diagnostica obbligatoria Bionet 2-necroscopie Ist_Zooprofilattico_sperim, ecc.)</t>
  </si>
  <si>
    <t>assicurazione responsabilità civile</t>
  </si>
  <si>
    <t xml:space="preserve">86-U.1.10.04.01.003                               </t>
  </si>
  <si>
    <t>pulizia uffici</t>
  </si>
  <si>
    <t xml:space="preserve">53-U.1.03.02.13.002/01                            </t>
  </si>
  <si>
    <t>trasporto di  prodotti agricoli o mezzi da/per azienda</t>
  </si>
  <si>
    <t>assicurazioni su beni immobili</t>
  </si>
  <si>
    <t xml:space="preserve">86-U.1.10.04.01.002                               </t>
  </si>
  <si>
    <t>sevizi sanitari (smaltimento carcasse, macellazioni d'urgenza capi infortunati)</t>
  </si>
  <si>
    <t xml:space="preserve">58-U.1.03.02.18.999                               </t>
  </si>
  <si>
    <t>Carbonio - Biogas Doneright (quota 2018 - progetto aziendale di 5 anni)</t>
  </si>
  <si>
    <t>Studi e servizi a supporto dell’apicoltura attraverso il monitoraggio ambientale mediante una rete di apiari-spia dislocati in aree a diversa destinazione (agricola, industriale, naturalistica) e con l’ausilio di arnie informatizzate.</t>
  </si>
  <si>
    <t>Azienda Diana - Investimenti Prioritari</t>
  </si>
  <si>
    <t xml:space="preserve">Fondi </t>
  </si>
  <si>
    <t>Servizi  (escluso la quota associativa) per gestione fascicolo aziendale e procedure per contributi agricoli (preparaz. Domanda 2018 di Premio Unico, per PSR)</t>
  </si>
  <si>
    <t>Adesione ad Assosementi - Centro Po di tramontana</t>
  </si>
  <si>
    <t>C.I.B. Consorzio Italiano Biogas e Gassificazione -  adesione al Consorzio Biogas e Gassificazione</t>
  </si>
  <si>
    <t>incarico professionale per aggiornamento e gestione  modelli previsionali</t>
  </si>
  <si>
    <t>Acquisto materiali di consumo per monitoraggi (trappole, capsule feromoni,sonde)</t>
  </si>
  <si>
    <t>servizio di traduzione e correzione testi</t>
  </si>
  <si>
    <t>trasporto macchinari per prove (Az. Diana)</t>
  </si>
  <si>
    <t>manutenzione alle macchine parcellari (az. Diana)</t>
  </si>
  <si>
    <t>materiale di consumo necessario alle prove sperimentali (az. Diana)</t>
  </si>
  <si>
    <t>sementi colture di copertura estive e invernali (az. Diana)</t>
  </si>
  <si>
    <t>sementi colture di copertura estive e invernali (az. Sasse)</t>
  </si>
  <si>
    <t>semine su sodo con contoterzisti (az. Diana)</t>
  </si>
  <si>
    <t>semine su sodo con contoterzisti (az. Sasse)</t>
  </si>
  <si>
    <t>manopera operaia a Sasse - OTD</t>
  </si>
  <si>
    <t>manopera operaia a Diana - OTD</t>
  </si>
  <si>
    <t>manodopera OTD az. Sasse</t>
  </si>
  <si>
    <t>ASSICURAZIONI COLTURE (VIGNETO)</t>
  </si>
  <si>
    <t>ASSICURAZIONI (gestione polizze centralizzata)</t>
  </si>
  <si>
    <t>Titolo della scheda</t>
  </si>
  <si>
    <t>Nr. scheda</t>
  </si>
  <si>
    <t>Anno</t>
  </si>
  <si>
    <t>Miss_progr</t>
  </si>
  <si>
    <t>Centro di Costo</t>
  </si>
  <si>
    <t>Importo Spese</t>
  </si>
  <si>
    <t>Cap.</t>
  </si>
  <si>
    <t>Descrizione della spesa</t>
  </si>
  <si>
    <t xml:space="preserve"> cod pdc</t>
  </si>
  <si>
    <t>COSTO  PERSONALE OTD Az. Diana</t>
  </si>
  <si>
    <t>OPERAI OTD - Az. Diana</t>
  </si>
  <si>
    <t>COSTO O.T.D. - az. Sasse</t>
  </si>
  <si>
    <t>Manodopera OTD Az. Sasse per Bionet cereali</t>
  </si>
  <si>
    <t>PERSONALE OTD - az. Sasse</t>
  </si>
  <si>
    <t>operai OTD per manutenzioni ambientali az. VV</t>
  </si>
  <si>
    <t>operai OTD - az. Vallevecchia</t>
  </si>
  <si>
    <t>2 OTD per complessive 420 giornate circa az Villiago</t>
  </si>
  <si>
    <t>costo 1 OTI per Biodiversità avicola az Sasse</t>
  </si>
  <si>
    <t>COSTO 2 O.T.I. az Sasse</t>
  </si>
  <si>
    <t>OPERAI OTI az Diana</t>
  </si>
  <si>
    <t>COSTO PERSONALE OTI az Diana</t>
  </si>
  <si>
    <t>operai OTI per manutenzioni ambientali az Vallev.</t>
  </si>
  <si>
    <t>operai OTI per gestione area di sosta az Vallev.</t>
  </si>
  <si>
    <t>1 OTI Azienda Villiago</t>
  </si>
  <si>
    <t>OPERAI OTD - Pradon</t>
  </si>
  <si>
    <t>OPERAI OTD  per il Centro di Conegliano</t>
  </si>
  <si>
    <t xml:space="preserve"> OTD Cansiglio</t>
  </si>
  <si>
    <t>nr. 1 OTI - Cansiglio</t>
  </si>
  <si>
    <t>nr. 2 operai OTI - Cansiglio</t>
  </si>
  <si>
    <t>Nr. 1 operaia OTD part-time (pulizie uffici - Cansiglio)</t>
  </si>
  <si>
    <t>O.T.D. - Verona</t>
  </si>
  <si>
    <t>OTD Montecchio</t>
  </si>
  <si>
    <t>OTI Montecchio</t>
  </si>
  <si>
    <t>OTD Pian dei Spini</t>
  </si>
  <si>
    <t>Nr. 2 OTI</t>
  </si>
  <si>
    <t>OTD - Valdastico</t>
  </si>
  <si>
    <t>OTI Bosco Nordio</t>
  </si>
  <si>
    <t>OTD Bosco Nordio</t>
  </si>
  <si>
    <t>OTD GIARDINO BOTANICO</t>
  </si>
  <si>
    <t>servizi di analisi di laboratorio</t>
  </si>
  <si>
    <t>Descriz. Cap.</t>
  </si>
  <si>
    <t>Descriz. CdC</t>
  </si>
  <si>
    <t>Missione/ Program.</t>
  </si>
  <si>
    <t>Livello CdC</t>
  </si>
  <si>
    <t>codice CdC</t>
  </si>
  <si>
    <t>Descrizione Centro di Costo</t>
  </si>
  <si>
    <t>Controllo</t>
  </si>
  <si>
    <t>Nominativo</t>
  </si>
  <si>
    <t>Sede</t>
  </si>
  <si>
    <t>Uffici R.A. Legnaro - Totale Attività Ordinaria</t>
  </si>
  <si>
    <t>Furlan</t>
  </si>
  <si>
    <t>Ricerca Agraria - Att. Istituzionale</t>
  </si>
  <si>
    <t>Ricerca Agraria - Sperim. c/terzi</t>
  </si>
  <si>
    <t>Ricerca Agraria Legnaro - Totale Progetti</t>
  </si>
  <si>
    <t>X</t>
  </si>
  <si>
    <t xml:space="preserve">Az. Diana - Totale Attività Ordinaria </t>
  </si>
  <si>
    <t>Giacobbi</t>
  </si>
  <si>
    <t>Att. Ord. Az. Diana - Seminativi</t>
  </si>
  <si>
    <t>Att. Ord. Az. Diana - Vigneto</t>
  </si>
  <si>
    <t>Att. Ord. Az. Diana - Spese Generali</t>
  </si>
  <si>
    <t>Az. Diana - Totale Progetti</t>
  </si>
  <si>
    <t xml:space="preserve">Az. Sasse-Rami - Totale Attività Ordinaria </t>
  </si>
  <si>
    <t>Salmaso</t>
  </si>
  <si>
    <t>Att. Ord. Az. Sasse - Frutteto</t>
  </si>
  <si>
    <t>Att. Ord. Az. Sasse - Allevam. Suini Biologici</t>
  </si>
  <si>
    <t>Bondesan</t>
  </si>
  <si>
    <t>Att. Ord. Az. Sasse - Allevam. Avicoli</t>
  </si>
  <si>
    <t>Baruchello</t>
  </si>
  <si>
    <t>Att. Ord. Az. Sasse - Spese Generali</t>
  </si>
  <si>
    <t>Az. Sasse - Totale Progetti</t>
  </si>
  <si>
    <t xml:space="preserve">Az. Vallevecchia - Totale Attività Ordinaria </t>
  </si>
  <si>
    <t>Att. Ord. Az. Vallevecchia - Seminativi</t>
  </si>
  <si>
    <t>Fagotto</t>
  </si>
  <si>
    <t>Att. Ord. Az. Vallevecchia - Parcheggio</t>
  </si>
  <si>
    <t>Att. Ord. VV - Gestione Impianti Innov. x Acqua</t>
  </si>
  <si>
    <t>Att. Ord. Az. Vallevecchia - Spese Generali</t>
  </si>
  <si>
    <t>Az. Vallevecchia - Totale Progetti</t>
  </si>
  <si>
    <t xml:space="preserve">Az. Villiago - Totale Attività Ordinaria </t>
  </si>
  <si>
    <t>Att. Ord. Az. Villiago - Prati Pascoli</t>
  </si>
  <si>
    <t>Att. Ord. Az. Viliago - Allevam. Ovini - Burlina</t>
  </si>
  <si>
    <t>Att. Ord. Villiago - Spese Generali</t>
  </si>
  <si>
    <t>Az. Villiago - Totale Progetti</t>
  </si>
  <si>
    <t>Att. Ord. Laboratorio Fitosaniario - Buttapietra (VR)</t>
  </si>
  <si>
    <t>Att. Ord. Laboratorio Difesa Biologica - Az. Sasse</t>
  </si>
  <si>
    <t>Laboratori Ric. Agraria - Totale Progetti</t>
  </si>
  <si>
    <r>
      <t xml:space="preserve">Ricerca Agraria - Attività Ordinaria </t>
    </r>
    <r>
      <rPr>
        <i/>
        <sz val="11"/>
        <color theme="3"/>
        <rFont val="Calibri"/>
        <family val="2"/>
        <scheme val="minor"/>
      </rPr>
      <t>(da ripartire)</t>
    </r>
  </si>
  <si>
    <r>
      <t xml:space="preserve">Ric. Agraria - Progetti del settore </t>
    </r>
    <r>
      <rPr>
        <i/>
        <sz val="11"/>
        <color rgb="FFC00000"/>
        <rFont val="Calibri"/>
        <family val="2"/>
        <scheme val="minor"/>
      </rPr>
      <t>(da ripartire)</t>
    </r>
  </si>
  <si>
    <t>Bioenergie e C.C. - Att. Ordinaria</t>
  </si>
  <si>
    <t>Correale</t>
  </si>
  <si>
    <t>Bioenergie e C.C. - Totale Progetti</t>
  </si>
  <si>
    <t xml:space="preserve">Po di Tramontana - Totale Attività Ordinaria </t>
  </si>
  <si>
    <t>Tosini</t>
  </si>
  <si>
    <t>Po di Tramontana - Totale Progetti</t>
  </si>
  <si>
    <t xml:space="preserve">Pradon - Totale Attività Ordinaria </t>
  </si>
  <si>
    <t>Serra</t>
  </si>
  <si>
    <t>Pradon - Totale Progetti</t>
  </si>
  <si>
    <t xml:space="preserve">Conegliano - Totale Attività Ordinaria </t>
  </si>
  <si>
    <t>Soligo</t>
  </si>
  <si>
    <t>Conegliano - Totale Progetti</t>
  </si>
  <si>
    <r>
      <t xml:space="preserve">Centri Sperimentali - Att. Ordinaria </t>
    </r>
    <r>
      <rPr>
        <i/>
        <sz val="11"/>
        <color theme="3"/>
        <rFont val="Calibri"/>
        <family val="2"/>
        <scheme val="minor"/>
      </rPr>
      <t>(da ripartire)</t>
    </r>
  </si>
  <si>
    <t>Giannini</t>
  </si>
  <si>
    <r>
      <t xml:space="preserve">Centri Sperim. - Progetti del settore </t>
    </r>
    <r>
      <rPr>
        <i/>
        <sz val="11"/>
        <color rgb="FFC00000"/>
        <rFont val="Calibri"/>
        <family val="2"/>
        <scheme val="minor"/>
      </rPr>
      <t>(da ripartire)</t>
    </r>
  </si>
  <si>
    <t xml:space="preserve">Cansiglio - Totale Attività Ordinaria </t>
  </si>
  <si>
    <t>Fontanive</t>
  </si>
  <si>
    <t>Att. Ord. Cansiglio - Utilizzazioni Forestali</t>
  </si>
  <si>
    <t>Att. Ord. Cansiglio - Manutenz. Ambientali e viabilità</t>
  </si>
  <si>
    <t>Att. Ord. Cansiglio - Gest. Fabbr. e suolo demaniale in concessione</t>
  </si>
  <si>
    <t>Att. Ord. Cansiglio - Falegnameria</t>
  </si>
  <si>
    <t>Att. Ord. Cansiglio - Area di Sosta</t>
  </si>
  <si>
    <t>da agosto 2017</t>
  </si>
  <si>
    <t>Att. Ord. Cansiglio - Spese Generali</t>
  </si>
  <si>
    <t>Cansiglio - Totale Progetti</t>
  </si>
  <si>
    <t xml:space="preserve">Verona - Totale Attività Ordinaria </t>
  </si>
  <si>
    <t>Bertazzon</t>
  </si>
  <si>
    <t>Att. Ord. Verona - Att. Selvicolturali sul demanio</t>
  </si>
  <si>
    <t>Att. Ord. Verona - Manutenz. Ambientali</t>
  </si>
  <si>
    <t>Att. Ord. Verona - Gest. Fabbr. e suolo demaniale in concessione</t>
  </si>
  <si>
    <t>Att. Ord. Verona - Spese Generali</t>
  </si>
  <si>
    <t>Verona - Totale Progetti</t>
  </si>
  <si>
    <t xml:space="preserve">Montecchio e PdS- Totale Attività Ordinaria </t>
  </si>
  <si>
    <t>Fiorentin</t>
  </si>
  <si>
    <t>Attività Ord. Vivaistica Montecchio</t>
  </si>
  <si>
    <t>Attività ord. Vivaisitca Pian dei Spini</t>
  </si>
  <si>
    <t xml:space="preserve">Att. Ordinaria Centro Biodiveristà - Spese Generali </t>
  </si>
  <si>
    <t>Montecchio e PdS - Totale Progetti</t>
  </si>
  <si>
    <t xml:space="preserve">UCRANP - Totale Attività Ordinaria </t>
  </si>
  <si>
    <t>Vianello</t>
  </si>
  <si>
    <t>Attività Ordinaria Bosco Nordio</t>
  </si>
  <si>
    <t>Att. Ord. Ca'Mello e Riserva Naturale Bocche di Po</t>
  </si>
  <si>
    <t>Att. Ord. Vallevecchia Aree Naturali</t>
  </si>
  <si>
    <t>Att. Ordinaria UCRANP - Spese Generali</t>
  </si>
  <si>
    <t>UCRANP - Totale Progetti</t>
  </si>
  <si>
    <t>Berto</t>
  </si>
  <si>
    <r>
      <t xml:space="preserve">Att. Forestali - Progetti del settore </t>
    </r>
    <r>
      <rPr>
        <i/>
        <sz val="11"/>
        <color rgb="FFC00000"/>
        <rFont val="Calibri"/>
        <family val="2"/>
        <scheme val="minor"/>
      </rPr>
      <t>(da ripartire)</t>
    </r>
  </si>
  <si>
    <t xml:space="preserve">Ric. Faunistica - Totale Attività Ordinaria </t>
  </si>
  <si>
    <t>Bottazzo</t>
  </si>
  <si>
    <t>Ricerca Faunistica - Totale Progetti</t>
  </si>
  <si>
    <t xml:space="preserve">SGA - Att. Ordinaria </t>
  </si>
  <si>
    <t>Loreggian</t>
  </si>
  <si>
    <t>SGA - Totale Progetti</t>
  </si>
  <si>
    <t>Sez. REGAF - Totale Att. Ordinaria</t>
  </si>
  <si>
    <t>Mezzalira</t>
  </si>
  <si>
    <t>Fondo per la Sicurezza -  Sez. REGAF</t>
  </si>
  <si>
    <t>Attività generale Sez. REGAF</t>
  </si>
  <si>
    <t>Sez. REGAF - Totale Progetti in carico direttam. alla Sezione</t>
  </si>
  <si>
    <t>N</t>
  </si>
  <si>
    <t>Att. Ord. Thiene - Laboratorio Latte</t>
  </si>
  <si>
    <t>Fellin</t>
  </si>
  <si>
    <t>THIENE Lab. Latte - Totale Progetti</t>
  </si>
  <si>
    <t>Att. Ord. Thiene - Laboratorio Chimica</t>
  </si>
  <si>
    <t>THIENE Lab. Chimica - Totale Progetti</t>
  </si>
  <si>
    <t>Att. Ord. Thiene - Laboratorio Sensoriale</t>
  </si>
  <si>
    <t>Marangon</t>
  </si>
  <si>
    <t>THIENE Lab. Sensoriale - Totale Progetti</t>
  </si>
  <si>
    <t>Att. Ord. Thiene - Spese Generali</t>
  </si>
  <si>
    <t>Att. Ord. Thiene - Gestione Mensa</t>
  </si>
  <si>
    <t>Att. Ord. Thiene - Centro Produz. Fermenti e Laboratorio</t>
  </si>
  <si>
    <t>De Dea</t>
  </si>
  <si>
    <t>THIENE C.P.Fermenti - Totale Progetti</t>
  </si>
  <si>
    <t xml:space="preserve">Att. Ord. Thiene - Laboratori Lab. Biotecnologie e Microbiologia </t>
  </si>
  <si>
    <t>Spolaor</t>
  </si>
  <si>
    <t>THIENE Lab. Biot. e Microb. - Totale Progetti</t>
  </si>
  <si>
    <t>Oss. Economico Agroalim. - Attività Ordinaria</t>
  </si>
  <si>
    <t>Oss. Economico Agroalim. - Totale Progetti</t>
  </si>
  <si>
    <t>Osservatorio Pesca - Attività Ordinaria</t>
  </si>
  <si>
    <t>Osservatorio Pesca  - Totale Progetti</t>
  </si>
  <si>
    <t>Progettazione Europea - Attività Ordinaria</t>
  </si>
  <si>
    <t>Progettazione Europea - Totale Progetti</t>
  </si>
  <si>
    <t>Turismo Rurale -  Attività Ordinaria</t>
  </si>
  <si>
    <t>Turismo Rurale - Totale Progetti</t>
  </si>
  <si>
    <t xml:space="preserve"> Educaz. Naturalistica - Totale Att. Ordinaria</t>
  </si>
  <si>
    <t>Bullo</t>
  </si>
  <si>
    <t>Att. Ord. Ed. Nat. Giardino Botanico - Cansiglio</t>
  </si>
  <si>
    <t>Att. Ord. Ed. Nat.  MUC - Cansiglio</t>
  </si>
  <si>
    <t>Att. Ord. Ed. Nat. Casa Vallorch - Cansiglio</t>
  </si>
  <si>
    <t>Att. Ord. Ed. Nat. MAV, Foresteria e Casone - Vallevecchia</t>
  </si>
  <si>
    <t>Att. Ord. Ed. Nat. -  Bosco Nordio</t>
  </si>
  <si>
    <t>Att. Ord. Ed. Nat. - Ca' Mello</t>
  </si>
  <si>
    <t>Att. Ord. Ed. Nat. - Agribus</t>
  </si>
  <si>
    <t>Att.Ord. Ed. Nat. - Festa degli Alberi e Ed. Agroalim.</t>
  </si>
  <si>
    <t>Att. Ord. Ed. Nat. - Festa degli Alberi dell'Alpago</t>
  </si>
  <si>
    <t>Att. Ord. Ed. Nat. - Catalogo didattico</t>
  </si>
  <si>
    <t>Att. Ord. Ed. Nat. - Spese generali</t>
  </si>
  <si>
    <t>Educaz. Naturalistica - Totale Progetti</t>
  </si>
  <si>
    <t>Attività  Naturalistica - Totale Att. Ordinaria (per il 2018)</t>
  </si>
  <si>
    <t>Att. Ord. Nat. Giardino Botanico - Cansiglio (per il 2018)</t>
  </si>
  <si>
    <t>Att. Ord. Nat.  MUC - Cansiglio (per il 2018)</t>
  </si>
  <si>
    <t>Att. Ord. Ed. Nat. MAV, Foresteria e Casone - Vallevecchia (per il 2018)</t>
  </si>
  <si>
    <t>Att. Naturalistica - Totale Progetti (per il 2018)</t>
  </si>
  <si>
    <t xml:space="preserve">Centro di Formazione e Informazione - Totale Att. Ordinaria </t>
  </si>
  <si>
    <t>Norido</t>
  </si>
  <si>
    <t xml:space="preserve">Formazione Professionale - Attività Ordinaria  </t>
  </si>
  <si>
    <t>Meneghetti</t>
  </si>
  <si>
    <t xml:space="preserve">Informazione e Convegnistica - Attività Ordinaria </t>
  </si>
  <si>
    <t>Barbieri</t>
  </si>
  <si>
    <t>Divulgazione Tecnica - Attività Ordinaria</t>
  </si>
  <si>
    <t>Formaz. e Divulgazione - Totale Progetti</t>
  </si>
  <si>
    <r>
      <t xml:space="preserve">Settore DT/FP/EN - Attività Ordinaria </t>
    </r>
    <r>
      <rPr>
        <i/>
        <sz val="11"/>
        <color theme="3"/>
        <rFont val="Calibri"/>
        <family val="2"/>
        <scheme val="minor"/>
      </rPr>
      <t>(da ripartire)</t>
    </r>
  </si>
  <si>
    <r>
      <t xml:space="preserve">Settore DT/FP/EN - Progetti del settore </t>
    </r>
    <r>
      <rPr>
        <i/>
        <sz val="11"/>
        <color rgb="FFC00000"/>
        <rFont val="Calibri"/>
        <family val="2"/>
        <scheme val="minor"/>
      </rPr>
      <t>(da ripartire)</t>
    </r>
  </si>
  <si>
    <t xml:space="preserve">Bonello - Attività Ordinaria </t>
  </si>
  <si>
    <t>Palazzi</t>
  </si>
  <si>
    <t>Bonello - Totale Progetti</t>
  </si>
  <si>
    <t xml:space="preserve">Pellestrina - Attività Ordinaria </t>
  </si>
  <si>
    <t>Pellestrina - Totale Progetti</t>
  </si>
  <si>
    <t xml:space="preserve">Valdastico - Totale Att. Ordinaria </t>
  </si>
  <si>
    <t>Bilò</t>
  </si>
  <si>
    <t>Att. Ord. Valdastico - Gestione e Spese generali</t>
  </si>
  <si>
    <t>Att. Ord. Valdastico - Obblighi Ittiogenici</t>
  </si>
  <si>
    <t>Valdastico - Totale Progetti</t>
  </si>
  <si>
    <r>
      <t xml:space="preserve">Centri Ittici - Attività Ordinaria </t>
    </r>
    <r>
      <rPr>
        <i/>
        <sz val="11"/>
        <color theme="3"/>
        <rFont val="Calibri"/>
        <family val="2"/>
        <scheme val="minor"/>
      </rPr>
      <t xml:space="preserve"> (da ripartire)</t>
    </r>
  </si>
  <si>
    <r>
      <t xml:space="preserve">Centri Ittici - Progetti </t>
    </r>
    <r>
      <rPr>
        <i/>
        <sz val="11"/>
        <color rgb="FFC00000"/>
        <rFont val="Calibri"/>
        <family val="2"/>
        <scheme val="minor"/>
      </rPr>
      <t>(da ripartire)</t>
    </r>
  </si>
  <si>
    <t xml:space="preserve">Sez. Innovaz. e Sv. - Attività Ordinaria </t>
  </si>
  <si>
    <t>Sez. Innovaz. e Sv. - Progetti</t>
  </si>
  <si>
    <t xml:space="preserve">Ufficio Stampa - Totale Att. Ordinaria </t>
  </si>
  <si>
    <t>Vita</t>
  </si>
  <si>
    <t>Att. Ord. Uff. Stampa - Comunicaz. Istituzionale</t>
  </si>
  <si>
    <t>Att. Ord. Uff. Stampa - Partecipaz. Fiere</t>
  </si>
  <si>
    <t>Att. Ord. Uff. Stampa - Rassegna Stampa</t>
  </si>
  <si>
    <t>Att. Ord. Uff. Stampa - Abbonamenti</t>
  </si>
  <si>
    <t>Att. Ord. Uff. Stampa - Spese Generali</t>
  </si>
  <si>
    <t>Uff. Stampa - Totale Progetti</t>
  </si>
  <si>
    <t xml:space="preserve">Staff del Direttore dell'Agenzia - Att. Ordinaria </t>
  </si>
  <si>
    <t>Staff del Direttore dell'Agenzia - Totale Progetti</t>
  </si>
  <si>
    <t xml:space="preserve">O.G.R.U. - Attività Ordinaria </t>
  </si>
  <si>
    <t>Gulinelli</t>
  </si>
  <si>
    <t>OGRU - Totale Progetti</t>
  </si>
  <si>
    <t>AA.GG.LL. - Totale Progetti</t>
  </si>
  <si>
    <t xml:space="preserve">Ragioneria - Attività Ordinaria </t>
  </si>
  <si>
    <t>50.</t>
  </si>
  <si>
    <t xml:space="preserve">Ragioneria - Spese Mutui </t>
  </si>
  <si>
    <t>60.</t>
  </si>
  <si>
    <t>Ragioneria - Sp. Anticipaz. di Tesoreria</t>
  </si>
  <si>
    <t>Ragioneria - Trasferimenti Interni a VA</t>
  </si>
  <si>
    <t>Ragioneria - Totale Progetti</t>
  </si>
  <si>
    <t xml:space="preserve">Patrimonio - Totale Attività Ordinaria </t>
  </si>
  <si>
    <t>Bellesso</t>
  </si>
  <si>
    <t>Att. Ord. Patrimonio - Agripolis e imposte sul patrimonio</t>
  </si>
  <si>
    <t>Att. Ord. Patrimonio - Villa Rieti Rota</t>
  </si>
  <si>
    <t>Riforma Fondiaria</t>
  </si>
  <si>
    <t>Patrimonio - Totale Progetti</t>
  </si>
  <si>
    <t xml:space="preserve">Servizi Informatici - Att. Ordinaria </t>
  </si>
  <si>
    <t>Zanatta</t>
  </si>
  <si>
    <t xml:space="preserve">Controllo di Gestione - Att. Ordinaria </t>
  </si>
  <si>
    <t>Rizzato</t>
  </si>
  <si>
    <t xml:space="preserve">Sez. Amministrativa - Attività Ordinaria </t>
  </si>
  <si>
    <t>Rossi</t>
  </si>
  <si>
    <t>Fondo per la Sicurezza -  Sez. Amministrativa</t>
  </si>
  <si>
    <t>Attività generale Sez. Amministrativa</t>
  </si>
  <si>
    <t>Sez. Amministrativa - Totale Progetti</t>
  </si>
  <si>
    <t>Convenzione Ente Parco Colli - Totale Progetti</t>
  </si>
  <si>
    <t>09</t>
  </si>
  <si>
    <t>05</t>
  </si>
  <si>
    <t>03</t>
  </si>
  <si>
    <t>servizio di analisi esterne di laboratorio su piante, terreno e digestati</t>
  </si>
  <si>
    <t>acquisto di materiale digestato</t>
  </si>
  <si>
    <t>trasporto di materiale digestato</t>
  </si>
  <si>
    <t>incarico professionale per assistenza elaborazione statistica</t>
  </si>
  <si>
    <t>noleggio di un sistema di rilevamento  informatizzato per 4-5 alveari</t>
  </si>
  <si>
    <t>servizio di pubblicazione on line dei risultati</t>
  </si>
  <si>
    <t xml:space="preserve">materiali di consumo vario </t>
  </si>
  <si>
    <t>manutenzione, controllo e servizio taratura strumentazione</t>
  </si>
  <si>
    <t>Organizzazione e partecipazione a manifestazioni e fiere (servizi e beni necessari)</t>
  </si>
  <si>
    <t>Acquisizione servizi per accoglienza</t>
  </si>
  <si>
    <t>Spese per accertamenti sanitari resi necessari dall'attività lavorativa</t>
  </si>
  <si>
    <t>incarico Prestazioni professionali</t>
  </si>
  <si>
    <t>servizio di Formazione</t>
  </si>
  <si>
    <t>prodotti multimediali (risorse a carico sch. 99 e 186 - Prog. Ricerca Agraria)</t>
  </si>
  <si>
    <t>grafica (risorse a carico sch. 99 e 186 - Prog. Ricerca Agraria)</t>
  </si>
  <si>
    <t>servizio di sorveglianza</t>
  </si>
  <si>
    <t>altri servizi vari</t>
  </si>
  <si>
    <t>pulizia</t>
  </si>
  <si>
    <t>servizio di pubblicaz. e stampa</t>
  </si>
  <si>
    <t>altri servizi ausiliari</t>
  </si>
  <si>
    <t>Servizio dell'Associazione Cimbri e Amici del Giardino Botanico per l'attività di vendita dei biglietti e dei gadget</t>
  </si>
  <si>
    <t>servizi in convenzione nella gestione del MUC e del Giardino Botanico</t>
  </si>
  <si>
    <t xml:space="preserve"> servizi esterni in convenzione per gestione Oasi Ca Mello</t>
  </si>
  <si>
    <t>MACRO</t>
  </si>
  <si>
    <t>Livelli</t>
  </si>
  <si>
    <t>Codice Voce</t>
  </si>
  <si>
    <t>TITOLO</t>
  </si>
  <si>
    <t>Nr. Capitolo</t>
  </si>
  <si>
    <t>U</t>
  </si>
  <si>
    <t>IV</t>
  </si>
  <si>
    <t>Retribuzioni in denaro - IMPIEGATI E DIRIGENTI</t>
  </si>
  <si>
    <t>U.1.01.01.01.000</t>
  </si>
  <si>
    <t>V</t>
  </si>
  <si>
    <t>Straordinario per il personale  - IMPIEGATI E DIRIGENTI</t>
  </si>
  <si>
    <t>Indennità ed altri compensi, esclusi i rimborsi spesa documentati per missione, corrisposti al personale - IMPIEGATI E DIRIGENTI</t>
  </si>
  <si>
    <t>Buoni pasto IMPIEGATI - DIRIGENTI e Altre spese per il personale</t>
  </si>
  <si>
    <t>U.1.01.01.02.000</t>
  </si>
  <si>
    <t>Contributi sociali effettivi a carico dell'ente - IMPIEGATI E DIRIGENTI</t>
  </si>
  <si>
    <t>U.1.01.02.01.000</t>
  </si>
  <si>
    <t>Accantonamento per Trattamento di Fine Rapporto  - IMPIEGATI E DIRIGENTI</t>
  </si>
  <si>
    <r>
      <t xml:space="preserve">Assegni familiari - Altri Contributi sociali </t>
    </r>
    <r>
      <rPr>
        <b/>
        <strike/>
        <sz val="10.5"/>
        <color indexed="8"/>
        <rFont val="Calibri"/>
        <family val="2"/>
      </rPr>
      <t xml:space="preserve">figurativi </t>
    </r>
    <r>
      <rPr>
        <b/>
        <sz val="10.5"/>
        <color indexed="8"/>
        <rFont val="Calibri"/>
        <family val="2"/>
      </rPr>
      <t>- IMPIEGATI E DIRIGENTI</t>
    </r>
  </si>
  <si>
    <t>U.1.01.02.02.000</t>
  </si>
  <si>
    <r>
      <t xml:space="preserve">Oneri personale in quiescenza - Altri Contributi sociali </t>
    </r>
    <r>
      <rPr>
        <b/>
        <strike/>
        <sz val="10.5"/>
        <color indexed="8"/>
        <rFont val="Calibri"/>
        <family val="2"/>
      </rPr>
      <t>figurativi</t>
    </r>
    <r>
      <rPr>
        <b/>
        <sz val="10.5"/>
        <color indexed="8"/>
        <rFont val="Calibri"/>
        <family val="2"/>
      </rPr>
      <t xml:space="preserve"> - IMPIEGATI E DIRIGENTI</t>
    </r>
  </si>
  <si>
    <t>U.1.01.02.02.---</t>
  </si>
  <si>
    <t>Pagamento del Fondo TFR c/o Azienda - IMPIEGATI E DIRIGENTI</t>
  </si>
  <si>
    <t>U.1.01.02.02.003</t>
  </si>
  <si>
    <t>Pagamento del Fondo TFR c/o Tesoreria INPS - IMPIEGATI E DIRIGENTI</t>
  </si>
  <si>
    <t>Retribuzioni in denaro O.T.I.</t>
  </si>
  <si>
    <t>Contributi sociali a carico dell'ente per OTI</t>
  </si>
  <si>
    <t>06</t>
  </si>
  <si>
    <t>Pagamento del Fondo TFR  OTI c/o Azienda</t>
  </si>
  <si>
    <t>Pagamento del Fondo TFR OTI c/o TESORERIA INPS</t>
  </si>
  <si>
    <t>Pagamento del Fondo TFR OTD c/o TESORERIA INPS</t>
  </si>
  <si>
    <t>Retribuzioni in denaro OTD</t>
  </si>
  <si>
    <t>Contributi sociali a carico dell'ente OTD</t>
  </si>
  <si>
    <t>08</t>
  </si>
  <si>
    <t>Imposta regionale sulle attività produttive (IRAP)</t>
  </si>
  <si>
    <t>U.1.02.01.01.000</t>
  </si>
  <si>
    <t>U.1.02.01.02.000</t>
  </si>
  <si>
    <t>U.1.02.01.03.000</t>
  </si>
  <si>
    <t>Tributo speciale per il deposito in discarica dei rifiuti solidi</t>
  </si>
  <si>
    <t>U.1.02.01.04.000</t>
  </si>
  <si>
    <t>Tributo funzione tutela e protezione ambiente</t>
  </si>
  <si>
    <t>U.1.02.01.05.000</t>
  </si>
  <si>
    <t>U.1.02.01.06.000</t>
  </si>
  <si>
    <t>Tassa e/o canone occupazione spazi e aree pubbliche</t>
  </si>
  <si>
    <t>U.1.02.01.07.000</t>
  </si>
  <si>
    <t>U.1.02.01.09.000</t>
  </si>
  <si>
    <t>U.1.02.01.10.000</t>
  </si>
  <si>
    <t xml:space="preserve">Imposta comunale sugli immobili (ICI) </t>
  </si>
  <si>
    <t>U.1.02.01.11.000</t>
  </si>
  <si>
    <t>Imposta Municipale Propria</t>
  </si>
  <si>
    <t>U.1.02.01.12.000</t>
  </si>
  <si>
    <t>U.1.02.01.99.000</t>
  </si>
  <si>
    <t>Giornali, riviste e pubblicazioni</t>
  </si>
  <si>
    <t>U.1.03.01.01.000</t>
  </si>
  <si>
    <t>Altri beni di consumo</t>
  </si>
  <si>
    <t>U.1.03.01.02.000</t>
  </si>
  <si>
    <t>Flora e Fauna</t>
  </si>
  <si>
    <t>U.1.03.01.03.000</t>
  </si>
  <si>
    <t>Medicinali e altri beni di consumo sanitario</t>
  </si>
  <si>
    <t>U.1.03.01.05.000</t>
  </si>
  <si>
    <t>Organi e incarichi istituzionali dell'amministrazione</t>
  </si>
  <si>
    <t>U.1.03.02.01.000</t>
  </si>
  <si>
    <t>FESR</t>
  </si>
  <si>
    <t>Rimborso viaggio e Indennità di missione e trasferta</t>
  </si>
  <si>
    <t>U.1.03.02.02.001</t>
  </si>
  <si>
    <r>
      <rPr>
        <b/>
        <strike/>
        <sz val="10.5"/>
        <color indexed="8"/>
        <rFont val="Calibri"/>
        <family val="2"/>
      </rPr>
      <t>Rappresentanza</t>
    </r>
    <r>
      <rPr>
        <b/>
        <sz val="10.5"/>
        <color indexed="8"/>
        <rFont val="Calibri"/>
        <family val="2"/>
      </rPr>
      <t>, Organizzazione Eventi, Pubblicità</t>
    </r>
  </si>
  <si>
    <t>U.1.03.02.02.000</t>
  </si>
  <si>
    <t>Acquisto di servizi per formazione e addestramento del personale dell'ente</t>
  </si>
  <si>
    <t>U.1.03.02.04.000</t>
  </si>
  <si>
    <t>U.1.03.02.05.000</t>
  </si>
  <si>
    <t>Utilizzo di beni di terzi</t>
  </si>
  <si>
    <t>U.1.03.02.07.000</t>
  </si>
  <si>
    <t>Leasing operativo</t>
  </si>
  <si>
    <t>U.1.03.02.08.000</t>
  </si>
  <si>
    <t>Manutenzione ordinaria e riparazioni</t>
  </si>
  <si>
    <t>U.1.03.02.09.000</t>
  </si>
  <si>
    <t>Consulenze</t>
  </si>
  <si>
    <t>U.1.03.02.10.000</t>
  </si>
  <si>
    <t>Prestazioni professionali e specialistiche</t>
  </si>
  <si>
    <t>U.1.03.02.11.000</t>
  </si>
  <si>
    <t>Lavoro flessibile, quota LSU e acquisto di servizi da agenzie di lavoro interinale</t>
  </si>
  <si>
    <t>U.1.03.02.12.000</t>
  </si>
  <si>
    <t>Servizi ausiliari per il funzionamento dell'ente</t>
  </si>
  <si>
    <t>U.1.03.02.13.000</t>
  </si>
  <si>
    <t>Servizi di ristorazione</t>
  </si>
  <si>
    <t>U.1.03.02.14.000</t>
  </si>
  <si>
    <t>Servizi amministrativi</t>
  </si>
  <si>
    <t>U.1.03.02.16.000</t>
  </si>
  <si>
    <t>Servizi finanziari</t>
  </si>
  <si>
    <t>U.1.03.02.17.000</t>
  </si>
  <si>
    <t>Servizi sanitari</t>
  </si>
  <si>
    <t>U.1.03.02.18.000</t>
  </si>
  <si>
    <t>Servizi informatici e di telecomunicazioni</t>
  </si>
  <si>
    <t>U.1.03.02.19.000</t>
  </si>
  <si>
    <t>U.1.03.02.99.000</t>
  </si>
  <si>
    <t>Trasferimenti correnti a Amministrazioni Centrali</t>
  </si>
  <si>
    <t>U.1.04.01.01.000</t>
  </si>
  <si>
    <t>Trasferimenti correnti a Amministrazioni Locali</t>
  </si>
  <si>
    <t>U.1.04.01.02.000</t>
  </si>
  <si>
    <t>Trasferimenti correnti a Enti di Previdenza</t>
  </si>
  <si>
    <t>U.1.04.01.03.000</t>
  </si>
  <si>
    <t>Trasferimenti correnti a organismi interni e/o unità locali della amministrazione</t>
  </si>
  <si>
    <t>U.1.04.01.04.000</t>
  </si>
  <si>
    <t>Trasferimenti correnti a altre imprese</t>
  </si>
  <si>
    <t>U.1.04.03.99.000</t>
  </si>
  <si>
    <t>Altri Trasferimenti correnti alla UE</t>
  </si>
  <si>
    <t>U.1.04.05.99.000</t>
  </si>
  <si>
    <t xml:space="preserve">Interessi passivi a Amministrazioni Locali su mutui e altri finanziamenti a medio lungo termine </t>
  </si>
  <si>
    <t>U.1.07.05.02.000</t>
  </si>
  <si>
    <t>non utilizzare dal 2017, sostituire con capitolo 70 qui sotto.</t>
  </si>
  <si>
    <t>Interessi passivi su finanziamenti a medio lungo termine a Imprese</t>
  </si>
  <si>
    <t>U.1.07.05.04.000</t>
  </si>
  <si>
    <t>Interessi di mora</t>
  </si>
  <si>
    <t>U.1.07.06.02.000</t>
  </si>
  <si>
    <t>Interessi passivi su anticipazioni di tesoreria degli istituti tesorieri/cassieri</t>
  </si>
  <si>
    <t>U.1.07.06.04.000</t>
  </si>
  <si>
    <t>Interessi passivi su operazioni di leasing finanziario</t>
  </si>
  <si>
    <t>U.1.07.06.05.000</t>
  </si>
  <si>
    <t>Altri interessi passivi diversi</t>
  </si>
  <si>
    <t>U.1.07.06.99.000</t>
  </si>
  <si>
    <t>Altre spese per redditi da capitale n.a.c.</t>
  </si>
  <si>
    <t>U.1.08.99.99.000</t>
  </si>
  <si>
    <t xml:space="preserve">Rimborsi per spese di personale (comando, distacco, fuori ruolo, convenzioni, ecc…) </t>
  </si>
  <si>
    <t>U.1.09.01.01.000</t>
  </si>
  <si>
    <t>Rimborsi di imposte e tasse di natura corrente</t>
  </si>
  <si>
    <t>U.1.09.02.01.000</t>
  </si>
  <si>
    <t>Rimborsi di trasferimenti all'Unione Europea</t>
  </si>
  <si>
    <t>U.1.09.03.01.000</t>
  </si>
  <si>
    <t>Rimborsi di parte corrente ad Amministrazioni Centrali di somme non dovute o incassate in eccesso</t>
  </si>
  <si>
    <t>U.1.09.99.01.000</t>
  </si>
  <si>
    <t>Rimborsi di parte corrente ad Amministrazioni Locali di somme non dovute o incassate in eccesso</t>
  </si>
  <si>
    <t>U.1.09.99.02.000</t>
  </si>
  <si>
    <t>Rimborsi di parte corrente a Imprese di somme non dovute o incassate in eccesso</t>
  </si>
  <si>
    <t>U.1.09.99.05.000</t>
  </si>
  <si>
    <r>
      <t xml:space="preserve">Fondo di riserva di Cassa - sp. correnti </t>
    </r>
    <r>
      <rPr>
        <i/>
        <sz val="10.5"/>
        <color indexed="8"/>
        <rFont val="Calibri"/>
        <family val="2"/>
      </rPr>
      <t>(Fondi di riserva)</t>
    </r>
  </si>
  <si>
    <t>U.1.10.01.01.001</t>
  </si>
  <si>
    <r>
      <rPr>
        <sz val="10.5"/>
        <color indexed="8"/>
        <rFont val="Calibri"/>
        <family val="2"/>
      </rPr>
      <t>Fondo Sp. Impreviste - sp. correnti</t>
    </r>
    <r>
      <rPr>
        <i/>
        <sz val="10.5"/>
        <color indexed="8"/>
        <rFont val="Calibri"/>
        <family val="2"/>
      </rPr>
      <t xml:space="preserve"> (Fondi di riserva) </t>
    </r>
  </si>
  <si>
    <r>
      <t xml:space="preserve">Fondo Sp. Obbligatorie - sp. correnti </t>
    </r>
    <r>
      <rPr>
        <i/>
        <sz val="10.5"/>
        <color indexed="8"/>
        <rFont val="Calibri"/>
        <family val="2"/>
      </rPr>
      <t>(Fondi di riserva)</t>
    </r>
  </si>
  <si>
    <r>
      <t xml:space="preserve">Fondi per Cofinanziamenti - sp. correnti </t>
    </r>
    <r>
      <rPr>
        <i/>
        <sz val="10.5"/>
        <color indexed="8"/>
        <rFont val="Calibri"/>
        <family val="2"/>
      </rPr>
      <t>(Fondi di riserva)</t>
    </r>
  </si>
  <si>
    <t>Fondo crediti di dubbia e difficile esazione di parte corrente</t>
  </si>
  <si>
    <t>U.1.10.01.03.000</t>
  </si>
  <si>
    <t>Fondo rinnovi contrattuali</t>
  </si>
  <si>
    <t>U.1.10.01.04.000</t>
  </si>
  <si>
    <t>F.do Utilizzazioni Boschive LRV 52/1978 (solo Miss 9.5)</t>
  </si>
  <si>
    <t>U.1.10.01.99.999</t>
  </si>
  <si>
    <t>F.do Raccolta Funghi  LRV 23/1996 (solo Miss 9.5)</t>
  </si>
  <si>
    <t xml:space="preserve">F.do TFR OTI c/o Azienda </t>
  </si>
  <si>
    <t xml:space="preserve">F.do TFR IMPEGATI E DIRIGENTI c/o Azienda </t>
  </si>
  <si>
    <t>F.do oneri connessi alla liquidazione di Veneto Agricoltura</t>
  </si>
  <si>
    <t>F.do per manutenzione impianti innovativi del bacino Azienda Vallevecchia</t>
  </si>
  <si>
    <t>Fondo copertura Perdite Società Partecipate</t>
  </si>
  <si>
    <t>F.do oneri presunti per la gestione di AVISP</t>
  </si>
  <si>
    <t>Fondo pluriennale vincolato</t>
  </si>
  <si>
    <t>U.1.10.02.01.000</t>
  </si>
  <si>
    <t>U.1.10.03.01.000</t>
  </si>
  <si>
    <t>Premi di assicurazione contro i danni</t>
  </si>
  <si>
    <t>U.1.10.04.01.000</t>
  </si>
  <si>
    <t>Altri premi di assicurazione n.a.c.</t>
  </si>
  <si>
    <t>U.1.10.04.99.000</t>
  </si>
  <si>
    <t>Spese dovute a sanzioni</t>
  </si>
  <si>
    <t>U.1.10.05.01.000</t>
  </si>
  <si>
    <t>Spese per risarcimento danni</t>
  </si>
  <si>
    <t>U.1.10.05.02.000</t>
  </si>
  <si>
    <t>Spese per indennizzi</t>
  </si>
  <si>
    <t>U.1.10.05.03.000</t>
  </si>
  <si>
    <t>Oneri da contenzioso</t>
  </si>
  <si>
    <t>U.1.10.05.04.000</t>
  </si>
  <si>
    <t>Altre spese dovute per irregolarità e illeciti n.a.c.</t>
  </si>
  <si>
    <t>U.1.10.05.99.000</t>
  </si>
  <si>
    <t>Altre spese correnti n.a.c.</t>
  </si>
  <si>
    <t>U.1.10.99.99.000</t>
  </si>
  <si>
    <t>Spese Generali Corte Benedettina</t>
  </si>
  <si>
    <t>Premi di assicurazione su beni immobili (SEZ. AMMIN)</t>
  </si>
  <si>
    <t>Premi di assicuraz. per responsabilità civile verso terzi (SEZ. AMMIN.)</t>
  </si>
  <si>
    <t>Sez. Amministrativa</t>
  </si>
  <si>
    <t>premi assicurazioni colture</t>
  </si>
  <si>
    <t>Pagamento contributi consortili anno 2018 - da chiedere a rimborso</t>
  </si>
  <si>
    <t>Fondo per la Sicurezza -  Sez. Innovaz.</t>
  </si>
  <si>
    <t>Attività generale Sez. Innovaz.</t>
  </si>
  <si>
    <t>Approvvigionamenti Sez. Amm (ex AA.GG.LL.) - Att. Ord.</t>
  </si>
  <si>
    <t>Servizio di supporto per assistenza informatica</t>
  </si>
  <si>
    <t>pubblicazioni di aggiornamento fiscale, contabile e giuridico</t>
  </si>
  <si>
    <t>A. Negro</t>
  </si>
  <si>
    <t>20.1</t>
  </si>
  <si>
    <t>idsettore</t>
  </si>
  <si>
    <t>OTD</t>
  </si>
  <si>
    <t>Salari, Oneri Sociali, Acc. TFR, Buoni Pasto (e IRAP su retribuz. se dovuta) OTD</t>
  </si>
  <si>
    <t>OTI</t>
  </si>
  <si>
    <t>Salari, Oneri Sociali, Acc. TFR, Buoni Pasto (e IRAP su retribuz. se dovuta) OTI</t>
  </si>
  <si>
    <t>operai OTI az Vallevecchia</t>
  </si>
  <si>
    <t>Costo OTI Po di Tram.</t>
  </si>
  <si>
    <t>Costo OTD - Po di tram</t>
  </si>
  <si>
    <t>acquisto mangime per avicoli</t>
  </si>
  <si>
    <t>materiali per mautenzioni, piccoli attrezzi</t>
  </si>
  <si>
    <t>veterinario</t>
  </si>
  <si>
    <t>Servizio tenuta paghe</t>
  </si>
  <si>
    <t>Att. Ord. Az. Sasse - Seminativi</t>
  </si>
  <si>
    <t>MATERIALI TECNICO-SPECIALISTICI: sementi, concimi,antiparassitari….</t>
  </si>
  <si>
    <t xml:space="preserve">CARBURANTI E LUBRIFICANTI macchine agricole  </t>
  </si>
  <si>
    <t>materiali di consumo - Bionet cereali</t>
  </si>
  <si>
    <t>servizi di terzisti e trasporti</t>
  </si>
  <si>
    <t>MEZZI TECNICI per frutteto</t>
  </si>
  <si>
    <t>MANUTENZIONI al frutteto</t>
  </si>
  <si>
    <t>CONCIMI vigneto</t>
  </si>
  <si>
    <t>SEMENTI - seminativi</t>
  </si>
  <si>
    <t xml:space="preserve">materiali di consumo Bionet Cereali Mais </t>
  </si>
  <si>
    <t>Titolo della scheda del Programma Attività 2018</t>
  </si>
  <si>
    <t>Descriz. Capitolo</t>
  </si>
  <si>
    <t>CdC</t>
  </si>
  <si>
    <t>Tipo</t>
  </si>
  <si>
    <t>Miss/Pr</t>
  </si>
  <si>
    <t>R.U.P.</t>
  </si>
  <si>
    <t>operai OTD per Bionet Cereali Mais</t>
  </si>
  <si>
    <t>materiale di consumo e legname -att. ambientale</t>
  </si>
  <si>
    <t>materia di consumo per parcheggio</t>
  </si>
  <si>
    <t xml:space="preserve"> materiale di consumo per impianti</t>
  </si>
  <si>
    <t>noleggi attrezzature</t>
  </si>
  <si>
    <t>servizi ausiliari di gestione parcheggio</t>
  </si>
  <si>
    <t>Servizio Pratiche per AVEPA</t>
  </si>
  <si>
    <t>acq.materiali per ripar.manutenzioni</t>
  </si>
  <si>
    <t>acq.mat.consumo vario</t>
  </si>
  <si>
    <t>Materiale non durevole previsto sopra</t>
  </si>
  <si>
    <t>Equipaggiamento antinfortunistico operai</t>
  </si>
  <si>
    <t>Spese condominiali uso immobile in convenzione con Prov. Treviso</t>
  </si>
  <si>
    <t>servizio di Stampa</t>
  </si>
  <si>
    <t>Settore Att. Forestali - Att. Ord. in carico al Settore</t>
  </si>
  <si>
    <t>acq. di semi</t>
  </si>
  <si>
    <t>Incarico specialist raccolta e trasferim. informazioni e dati</t>
  </si>
  <si>
    <t>mezzi tecnici e materiali di consumo</t>
  </si>
  <si>
    <t>Imposte: canone annuale scarico, canone specchio demaniale ecc..</t>
  </si>
  <si>
    <t>polizza fideiussoria per autorizzazione scarico</t>
  </si>
  <si>
    <t>docenze e tutoraggio (risorse a carico sch. 99 e 186 - Prog. Ricerca Agraria)</t>
  </si>
  <si>
    <t>servizi convegnistici (risorse a carico sch. 99 e 186 - Prog. Ricerca Agraria)</t>
  </si>
  <si>
    <t>stampa pubblicazioni (risorse a carico sch. 99 e 186 - Prog. Ricerca Agraria)</t>
  </si>
  <si>
    <t xml:space="preserve">A.L.C.A.V.E. - quota adesione - Thiene </t>
  </si>
  <si>
    <t xml:space="preserve">ENTE NAZ.ITALIANO UNIFICAZIONE Thiene </t>
  </si>
  <si>
    <t xml:space="preserve">FIL IDF COMITATO ITALIANO DELLA FEDERAZIONE INT. LATTE  Thiene </t>
  </si>
  <si>
    <t>Eventuali nuove adesioni dell'Ente o aumenti di spesa</t>
  </si>
  <si>
    <t>Imposte sul reddito delle persone giuridiche dell'Ente</t>
  </si>
  <si>
    <t>oneri dismissioni società partecipate (D.D. 13/2017 risorse impegno anno 2017 da portare al 2018)</t>
  </si>
  <si>
    <t>canoni per servizi  telepass</t>
  </si>
  <si>
    <t>60.1</t>
  </si>
  <si>
    <t>50.1</t>
  </si>
  <si>
    <t>50.2</t>
  </si>
  <si>
    <t>RIMBORSO QUOTA CAPITALE Versamento rata Valle Canalino (ISMEA)</t>
  </si>
  <si>
    <t>Risorse indistinte - Direttore</t>
  </si>
  <si>
    <t>1118 Totale</t>
  </si>
  <si>
    <t>1128 Totale</t>
  </si>
  <si>
    <t>1138 Totale</t>
  </si>
  <si>
    <t>1148 Totale</t>
  </si>
  <si>
    <t>1410 Totale</t>
  </si>
  <si>
    <t>1420 Totale</t>
  </si>
  <si>
    <t>1430 Totale</t>
  </si>
  <si>
    <t>1518 Totale</t>
  </si>
  <si>
    <t>1528 Totale</t>
  </si>
  <si>
    <t>1531 Totale</t>
  </si>
  <si>
    <t>1532 Totale</t>
  </si>
  <si>
    <t>1551 Totale</t>
  </si>
  <si>
    <t>2521 Totale</t>
  </si>
  <si>
    <t>2731 Totale</t>
  </si>
  <si>
    <t>2710 Totale</t>
  </si>
  <si>
    <t>Azienda/Centro</t>
  </si>
  <si>
    <t>Nr. OTI</t>
  </si>
  <si>
    <t>missioni operai (rimborso trasferte su cedolino)</t>
  </si>
  <si>
    <t>Contributi indennità fine rapporto OTD</t>
  </si>
  <si>
    <t>Contributi indennità fine rapporto OTI</t>
  </si>
  <si>
    <t>Buoni Pasto Operai</t>
  </si>
  <si>
    <t xml:space="preserve"> Azienda Diana - Attività Ordinaria</t>
  </si>
  <si>
    <t>Az. Sasse Rami - Attività ordinaria</t>
  </si>
  <si>
    <t>Azienda Villiago - Attività ordinaria</t>
  </si>
  <si>
    <t>Centro Pradon - Attività ordinaria</t>
  </si>
  <si>
    <t>Centro di Conegliano - Attività ordinaria</t>
  </si>
  <si>
    <t xml:space="preserve">Centro Cansiglio - Attività ordinaria </t>
  </si>
  <si>
    <t xml:space="preserve">Centro di Verona - Attività ordinaria </t>
  </si>
  <si>
    <t>Centro Ittico Valdastico - Attività Ordinaria</t>
  </si>
  <si>
    <t xml:space="preserve">COSTO O.T.D. </t>
  </si>
  <si>
    <t>Az. Valle vecchia - Attività Ordinaria</t>
  </si>
  <si>
    <t xml:space="preserve">Centro Po di Tramontana - Attività  ordinaria </t>
  </si>
  <si>
    <t>Centro per la Biodiversità V. e F.F. - Attività ordinaria Montecchio Precalcino</t>
  </si>
  <si>
    <t>Riserva Naturale Integrale Bosco Nordio - Attività Ordinaria</t>
  </si>
  <si>
    <t>Operai a Tempo Determinato</t>
  </si>
  <si>
    <t>Operai a Tempo Indeterminato</t>
  </si>
  <si>
    <t>(4 OTI di cui 1 in pemesso L. 104/92)</t>
  </si>
  <si>
    <t>(8 OTI di cui 1 in pemesso L. 104/92)</t>
  </si>
  <si>
    <t>Centro Ittico Bonello - Attività Ordinaria</t>
  </si>
  <si>
    <t>1 OTI</t>
  </si>
  <si>
    <t>Totale OTI</t>
  </si>
  <si>
    <t>Totale OTD</t>
  </si>
  <si>
    <t>COSTO O.T.I.</t>
  </si>
  <si>
    <t>Totale Manodopera Operaia a carico PEG 2018 - Attività Ordinaria</t>
  </si>
  <si>
    <t>telepass auto aziendale</t>
  </si>
  <si>
    <t>TOTALE</t>
  </si>
  <si>
    <t>operai OTD per gestione area di sosta az Vallev.</t>
  </si>
  <si>
    <t>Manutenzione straordinaria agli impianti: costi di trasferimento del laboratorio di micropropagazione (smontaggio a PO di Tramontana, trasporto, rimontaggio a Thiene,  collaudo)</t>
  </si>
  <si>
    <t>acquisto attrezzature didattiche in sostituzione di quelle danneggiate con l'incendio</t>
  </si>
  <si>
    <t>spese per lavori di ristrutturazione in appalto</t>
  </si>
  <si>
    <t>progettazione e direzione lavori per stanze prefabbricate capannone</t>
  </si>
  <si>
    <t>Numerazione e Descrizione Capitoli Bilancio Finanziario V.A. 2016 in riferimento al P. dei Conti finanziario  D.Lgs 118/2011</t>
  </si>
  <si>
    <t>Aggiornamento: scarico da ARCONET 27/10/2016</t>
  </si>
  <si>
    <t>MA</t>
  </si>
  <si>
    <t>Spese in conto capitale</t>
  </si>
  <si>
    <t>II</t>
  </si>
  <si>
    <t>III</t>
  </si>
  <si>
    <t>Investimenti fissi lordi e acquisto di terreni</t>
  </si>
  <si>
    <t>U.2.02.00.00.000</t>
  </si>
  <si>
    <t>Beni materiali</t>
  </si>
  <si>
    <t>U.2.02.01.00.000</t>
  </si>
  <si>
    <t>da 01 a 19</t>
  </si>
  <si>
    <t>Mezzi di trasporto ad uso civile, di sicurezza e ordine pubblico</t>
  </si>
  <si>
    <t>U.2.02.01.01.000</t>
  </si>
  <si>
    <t>01</t>
  </si>
  <si>
    <t>Mezzi di trasporto stradali</t>
  </si>
  <si>
    <t>U.2.02.01.01.001</t>
  </si>
  <si>
    <t>Mezzi di trasporto aerei</t>
  </si>
  <si>
    <t>U.2.02.01.01.002</t>
  </si>
  <si>
    <t>Mezzi di trasporto per vie d'acqua</t>
  </si>
  <si>
    <t>U.2.02.01.01.003</t>
  </si>
  <si>
    <t>Mezzi di trasporto ad uso civile, di sicurezza e ordine pubblico n.a.c.</t>
  </si>
  <si>
    <t>U.2.02.01.01.999</t>
  </si>
  <si>
    <t>Mobili e arredi</t>
  </si>
  <si>
    <t>U.2.02.01.03.000</t>
  </si>
  <si>
    <t>Mobili e arredi per ufficio</t>
  </si>
  <si>
    <t>U.2.02.01.03.001</t>
  </si>
  <si>
    <t>Mobili e arredi per alloggi e pertinenze</t>
  </si>
  <si>
    <t>U.2.02.01.03.002</t>
  </si>
  <si>
    <t>Mobili e arredi per laboratori</t>
  </si>
  <si>
    <t>U.2.02.01.03.003</t>
  </si>
  <si>
    <t>nuovo inserimento</t>
  </si>
  <si>
    <t>Mobili e arredi n.a.c.</t>
  </si>
  <si>
    <t>U.2.02.01.03.999</t>
  </si>
  <si>
    <t>Impianti e macchinari</t>
  </si>
  <si>
    <t>U.2.02.01.04.000</t>
  </si>
  <si>
    <t>Macchinari</t>
  </si>
  <si>
    <t>U.2.02.01.04.001</t>
  </si>
  <si>
    <t>Impianti</t>
  </si>
  <si>
    <t>U.2.02.01.04.002</t>
  </si>
  <si>
    <r>
      <t>Attrezzature</t>
    </r>
    <r>
      <rPr>
        <b/>
        <strike/>
        <sz val="9"/>
        <color indexed="8"/>
        <rFont val="Calibri"/>
        <family val="2"/>
      </rPr>
      <t xml:space="preserve"> </t>
    </r>
  </si>
  <si>
    <t>U.2.02.01.05.000</t>
  </si>
  <si>
    <t>Attrezzature scientifiche</t>
  </si>
  <si>
    <t>U.2.02.01.05.001</t>
  </si>
  <si>
    <t>Attrezzature sanitarie</t>
  </si>
  <si>
    <t>U.2.02.01.05.002</t>
  </si>
  <si>
    <t>Attrezzature n.a.c.</t>
  </si>
  <si>
    <t>U.2.02.01.05.999</t>
  </si>
  <si>
    <t>Macchine per ufficio</t>
  </si>
  <si>
    <t>U.2.02.01.06.000</t>
  </si>
  <si>
    <t>U.2.02.01.06.001</t>
  </si>
  <si>
    <t>Hardware</t>
  </si>
  <si>
    <t>U.2.02.01.07.000</t>
  </si>
  <si>
    <t>Server</t>
  </si>
  <si>
    <t>U.2.02.01.07.001</t>
  </si>
  <si>
    <t>Postazioni di lavoro</t>
  </si>
  <si>
    <t>U.2.02.01.07.002</t>
  </si>
  <si>
    <t>Periferiche</t>
  </si>
  <si>
    <t>U.2.02.01.07.003</t>
  </si>
  <si>
    <t>Apparati di telecomunicazione</t>
  </si>
  <si>
    <t>U.2.02.01.07.004</t>
  </si>
  <si>
    <t>Tablet e dispositivi di telefonia fissa e mobile</t>
  </si>
  <si>
    <t>U.2.02.01.07.005</t>
  </si>
  <si>
    <t>Hardware n.a.c.</t>
  </si>
  <si>
    <t>U.2.02.01.07.999</t>
  </si>
  <si>
    <t>Armi</t>
  </si>
  <si>
    <t>U.2.02.01.08.000</t>
  </si>
  <si>
    <t>Armi leggere ad uso civile e per ordine pubblico e sicurezza</t>
  </si>
  <si>
    <t>U.2.02.01.08.001</t>
  </si>
  <si>
    <t>Armi n.a.c.</t>
  </si>
  <si>
    <t>U.2.02.01.08.999</t>
  </si>
  <si>
    <t>Beni immobili</t>
  </si>
  <si>
    <t>U.2.02.01.09.000</t>
  </si>
  <si>
    <t>Fabbricati ad uso abitativo</t>
  </si>
  <si>
    <t>U.2.02.01.09.001</t>
  </si>
  <si>
    <r>
      <t>Fabbricati ad uso commerciale</t>
    </r>
    <r>
      <rPr>
        <strike/>
        <sz val="9"/>
        <color indexed="8"/>
        <rFont val="Calibri"/>
        <family val="2"/>
      </rPr>
      <t xml:space="preserve"> e istituzionale</t>
    </r>
  </si>
  <si>
    <t>U.2.02.01.09.002</t>
  </si>
  <si>
    <t>Fabbricati ad uso scolastico</t>
  </si>
  <si>
    <t>U.2.02.01.09.003</t>
  </si>
  <si>
    <t>Fabbricati industriali e costruzioni leggere</t>
  </si>
  <si>
    <t>U.2.02.01.09.004</t>
  </si>
  <si>
    <t>Fabbricati rurali</t>
  </si>
  <si>
    <t>U.2.02.01.09.005</t>
  </si>
  <si>
    <t>Fabbricati Ospedalieri e altre strutture sanitarie</t>
  </si>
  <si>
    <t>U.2.02.01.09.007</t>
  </si>
  <si>
    <t>Opere destinate al culto</t>
  </si>
  <si>
    <t>U.2.02.01.09.008</t>
  </si>
  <si>
    <t>Infrastrutture telematiche</t>
  </si>
  <si>
    <t>U.2.02.01.09.009</t>
  </si>
  <si>
    <t>Infrastrutture idrauliche</t>
  </si>
  <si>
    <t>U.2.02.01.09.010</t>
  </si>
  <si>
    <t>Infrastrutture portuali e aeroportuali</t>
  </si>
  <si>
    <t>U.2.02.01.09.011</t>
  </si>
  <si>
    <t>Infrastrutture stradali</t>
  </si>
  <si>
    <t>U.2.02.01.09.012</t>
  </si>
  <si>
    <t>Altre vie di comunicazione</t>
  </si>
  <si>
    <t>U.2.02.01.09.013</t>
  </si>
  <si>
    <t>Opere per la sistemazione del suolo</t>
  </si>
  <si>
    <t>U.2.02.01.09.014</t>
  </si>
  <si>
    <t>Cimiteri</t>
  </si>
  <si>
    <t>U.2.02.01.09.015</t>
  </si>
  <si>
    <t>Impianti sportivi</t>
  </si>
  <si>
    <t>U.2.02.01.09.016</t>
  </si>
  <si>
    <t>Fabbricati destinati ad asili nido</t>
  </si>
  <si>
    <t>U.2.02.01.09.017</t>
  </si>
  <si>
    <t>Musei, teatri e biblioteche</t>
  </si>
  <si>
    <t>U.2.02.01.09.018</t>
  </si>
  <si>
    <t>Fabbricati ad uso strumentale</t>
  </si>
  <si>
    <t>U.2.02.01.09.019</t>
  </si>
  <si>
    <t>Beni immobili n.a.c.</t>
  </si>
  <si>
    <t>U.2.02.01.09.999</t>
  </si>
  <si>
    <t>Beni immobili di valore culturale, storico ed artistico</t>
  </si>
  <si>
    <t>U.2.02.01.10.000</t>
  </si>
  <si>
    <t>Fabbricati ad uso abitativo di valore culturale, storico ed artistico</t>
  </si>
  <si>
    <t>U.2.02.01.10.001</t>
  </si>
  <si>
    <r>
      <t xml:space="preserve">Fabbricati ad uso commerciale </t>
    </r>
    <r>
      <rPr>
        <strike/>
        <sz val="9"/>
        <color indexed="8"/>
        <rFont val="Calibri"/>
        <family val="2"/>
      </rPr>
      <t xml:space="preserve">e istituzionale </t>
    </r>
    <r>
      <rPr>
        <sz val="9"/>
        <color indexed="8"/>
        <rFont val="Calibri"/>
        <family val="2"/>
      </rPr>
      <t>di valore culturale, storico ed artistico</t>
    </r>
  </si>
  <si>
    <t>U.2.02.01.10.002</t>
  </si>
  <si>
    <t>Fabbricati ad uso scolastico di valore culturale, storico ed artistico</t>
  </si>
  <si>
    <t>U.2.02.01.10.003</t>
  </si>
  <si>
    <t>Opere destinate al culto di valore culturale, storico ed artistico</t>
  </si>
  <si>
    <t>U.2.02.01.10.004</t>
  </si>
  <si>
    <t>Siti archeologici di valore culturale, storico ed artistico</t>
  </si>
  <si>
    <t>U.2.02.01.10.005</t>
  </si>
  <si>
    <t>Cimiteri di valore culturale, storico ed artistico</t>
  </si>
  <si>
    <t>U.2.02.01.10.006</t>
  </si>
  <si>
    <t>Impianti sportivi di valore culturale, storico ed artistico</t>
  </si>
  <si>
    <t>U.2.02.01.10.007</t>
  </si>
  <si>
    <t>Musei, teatri e biblioteche di valore culturale, storico ed artistico</t>
  </si>
  <si>
    <t>U.2.02.01.10.008</t>
  </si>
  <si>
    <t>Fabbricati ad uso strumentale di valore culturale, storico ed artistico</t>
  </si>
  <si>
    <t>U.2.02.01.10.009</t>
  </si>
  <si>
    <t>Beni immobili di valore culturale, storico ed artistico n.a.c.</t>
  </si>
  <si>
    <t>U.2.02.01.10.999</t>
  </si>
  <si>
    <t>Oggetti di valore</t>
  </si>
  <si>
    <t>U.2.02.01.11.000</t>
  </si>
  <si>
    <t>U.2.02.01.11.001</t>
  </si>
  <si>
    <t>Altri beni materiali</t>
  </si>
  <si>
    <t>U.2.02.01.99.000</t>
  </si>
  <si>
    <t>Materiale bibliografico</t>
  </si>
  <si>
    <t>U.2.02.01.99.001</t>
  </si>
  <si>
    <t>Strumenti musicali</t>
  </si>
  <si>
    <t>U.2.02.01.99.002</t>
  </si>
  <si>
    <t>Altri beni materiali diversi</t>
  </si>
  <si>
    <t>U.2.02.01.99.999</t>
  </si>
  <si>
    <t>Terreni e beni materiali non prodotti</t>
  </si>
  <si>
    <t>U.2.02.02.00.000</t>
  </si>
  <si>
    <t>da 21 a 29</t>
  </si>
  <si>
    <t>Terreni</t>
  </si>
  <si>
    <t>U.2.02.02.01.000</t>
  </si>
  <si>
    <t>Terreni agricoli</t>
  </si>
  <si>
    <t>U.2.02.02.01.001</t>
  </si>
  <si>
    <t>Terreni edificabili</t>
  </si>
  <si>
    <t>U.2.02.02.01.002</t>
  </si>
  <si>
    <t>Altri terreni n.a.c.</t>
  </si>
  <si>
    <t>U.2.02.02.01.999</t>
  </si>
  <si>
    <t>Patrimonio naturale non prodotto</t>
  </si>
  <si>
    <t>U.2.02.02.02.000</t>
  </si>
  <si>
    <t>Demanio marittimo</t>
  </si>
  <si>
    <t>U.2.02.02.02.001</t>
  </si>
  <si>
    <t>Demanio idrico</t>
  </si>
  <si>
    <t>U.2.02.02.02.002</t>
  </si>
  <si>
    <t>Foreste</t>
  </si>
  <si>
    <t>U.2.02.02.02.003</t>
  </si>
  <si>
    <t>Giacimenti</t>
  </si>
  <si>
    <t>U.2.02.02.02.004</t>
  </si>
  <si>
    <t>Fauna</t>
  </si>
  <si>
    <t>U.2.02.02.02.005</t>
  </si>
  <si>
    <t>Flora</t>
  </si>
  <si>
    <t>U.2.02.02.02.006</t>
  </si>
  <si>
    <t>Beni immateriali</t>
  </si>
  <si>
    <t>U.2.02.03.00.000</t>
  </si>
  <si>
    <t>da 31 a 39</t>
  </si>
  <si>
    <t>Avviamento</t>
  </si>
  <si>
    <t>U.2.02.03.01.000</t>
  </si>
  <si>
    <t>U.2.02.03.01.001</t>
  </si>
  <si>
    <t>Software</t>
  </si>
  <si>
    <t>U.2.02.03.02.000</t>
  </si>
  <si>
    <t>Sviluppo software e manutenzione evolutiva</t>
  </si>
  <si>
    <t>U.2.02.03.02.001</t>
  </si>
  <si>
    <t>Acquisto software</t>
  </si>
  <si>
    <t>U.2.02.03.02.002</t>
  </si>
  <si>
    <t>Brevetti</t>
  </si>
  <si>
    <t>U.2.02.03.03.000</t>
  </si>
  <si>
    <t>U.2.02.03.03.001</t>
  </si>
  <si>
    <t>Opere dell'ingegno e Diritti d'autore</t>
  </si>
  <si>
    <t>U.2.02.03.04.000</t>
  </si>
  <si>
    <t>U.2.02.03.04.001</t>
  </si>
  <si>
    <t>Incarichi professionali per la realizzazione di investimenti</t>
  </si>
  <si>
    <t>U.2.02.03.05.000</t>
  </si>
  <si>
    <t>U.2.02.03.05.001</t>
  </si>
  <si>
    <t>Manutenzione straordinaria su beni di terzi</t>
  </si>
  <si>
    <t>U.2.02.03.06.000</t>
  </si>
  <si>
    <t>Manutenzione straordinaria su beni demaniali di terzi</t>
  </si>
  <si>
    <t>U.2.02.03.06.001</t>
  </si>
  <si>
    <t>Manutenzione straordinaria su altri beni di terzi</t>
  </si>
  <si>
    <t>U.2.02.03.06.999</t>
  </si>
  <si>
    <t>Spese di investimento per beni immateriali n.a.c.</t>
  </si>
  <si>
    <t>U.2.02.03.99.000</t>
  </si>
  <si>
    <t>U.2.02.03.99.001</t>
  </si>
  <si>
    <t>Altre spese in conto capitale n.a.c.</t>
  </si>
  <si>
    <t>U.2.05.99.00.000</t>
  </si>
  <si>
    <t>U.2.05.99.99.000</t>
  </si>
  <si>
    <t>U.2.05.99.99.999</t>
  </si>
  <si>
    <t>-</t>
  </si>
  <si>
    <t>realizzazione di stanze prefabbricate interne al capannone attuale: manutenzione straordinaria al fabbricato</t>
  </si>
  <si>
    <t>lavori di espianto degli appezzamenti 2 e 37a</t>
  </si>
  <si>
    <t>irroratrice a recupero</t>
  </si>
  <si>
    <t>Descrizione Centro di Costo 2018</t>
  </si>
  <si>
    <t>tutte</t>
  </si>
  <si>
    <r>
      <t xml:space="preserve">Risorse NON DISPONIBILI </t>
    </r>
    <r>
      <rPr>
        <b/>
        <sz val="10"/>
        <rFont val="Calibri"/>
        <family val="2"/>
        <scheme val="minor"/>
      </rPr>
      <t>(condizionate a Avanzo Es. precedente)</t>
    </r>
  </si>
  <si>
    <t xml:space="preserve"> Uscite cod pdc</t>
  </si>
  <si>
    <t>Staff del Direttore - Ufficio Legale</t>
  </si>
  <si>
    <t>Staff del Direttore - Progetti Speciali</t>
  </si>
  <si>
    <t>F. Doldo</t>
  </si>
  <si>
    <t>F. Norido</t>
  </si>
  <si>
    <t>Incarico professionale per supporto giuridico-amministrativo correlato alla definizione dei bandi di cessione della gestione per i Centri Ittici e l'Azienda Villiago</t>
  </si>
  <si>
    <t>11.1</t>
  </si>
  <si>
    <t>11.2</t>
  </si>
  <si>
    <t>11.3</t>
  </si>
  <si>
    <t>11.4</t>
  </si>
  <si>
    <t>11.5</t>
  </si>
  <si>
    <t>14.1</t>
  </si>
  <si>
    <t>14.2</t>
  </si>
  <si>
    <t>14.3</t>
  </si>
  <si>
    <t>15.1</t>
  </si>
  <si>
    <t>15.2</t>
  </si>
  <si>
    <t>15.3</t>
  </si>
  <si>
    <t>15.4</t>
  </si>
  <si>
    <t>23.1</t>
  </si>
  <si>
    <t>23.2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</si>
  <si>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</si>
  <si>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</si>
  <si>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</si>
  <si>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</si>
  <si>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</si>
  <si>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</si>
  <si>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</si>
  <si>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</si>
  <si>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</si>
  <si>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47.2</t>
  </si>
  <si>
    <t>47.1</t>
  </si>
  <si>
    <t>47.3</t>
  </si>
  <si>
    <t>59.1</t>
  </si>
  <si>
    <t>59.2</t>
  </si>
  <si>
    <t>59.3</t>
  </si>
  <si>
    <t>59.4</t>
  </si>
  <si>
    <t>59.11</t>
  </si>
  <si>
    <t>59.12</t>
  </si>
  <si>
    <t>59.13</t>
  </si>
  <si>
    <t>54.1</t>
  </si>
  <si>
    <t>59.21</t>
  </si>
  <si>
    <t>11.1 Totale</t>
  </si>
  <si>
    <t>11.2 Totale</t>
  </si>
  <si>
    <t>11.3 Totale</t>
  </si>
  <si>
    <t>11.4 Totale</t>
  </si>
  <si>
    <t>11.5 Totale</t>
  </si>
  <si>
    <t>14.1 Totale</t>
  </si>
  <si>
    <t>14.2 Totale</t>
  </si>
  <si>
    <t>14.3 Totale</t>
  </si>
  <si>
    <t>15.1 Totale</t>
  </si>
  <si>
    <t>15.2 Totale</t>
  </si>
  <si>
    <t>15.3 Totale</t>
  </si>
  <si>
    <t>15.4 Totale</t>
  </si>
  <si>
    <t>13 Totale</t>
  </si>
  <si>
    <t>19 Totale</t>
  </si>
  <si>
    <t>22 Totale</t>
  </si>
  <si>
    <t>23.1 Totale</t>
  </si>
  <si>
    <t>23.2 Totale</t>
  </si>
  <si>
    <t>23.4 Totale</t>
  </si>
  <si>
    <t>23.5 Totale</t>
  </si>
  <si>
    <t>23.6 Totale</t>
  </si>
  <si>
    <t>23.7 Totale</t>
  </si>
  <si>
    <t>23.8 Totale</t>
  </si>
  <si>
    <t>23.9 Totale</t>
  </si>
  <si>
    <t>23.10 Totale</t>
  </si>
  <si>
    <t>23.11 Totale</t>
  </si>
  <si>
    <t>23.12 Totale</t>
  </si>
  <si>
    <t>29 Totale</t>
  </si>
  <si>
    <t>42 Totale</t>
  </si>
  <si>
    <t>47.1 Totale</t>
  </si>
  <si>
    <t>47.2 Totale</t>
  </si>
  <si>
    <t>47.3 Totale</t>
  </si>
  <si>
    <t>48 Totale</t>
  </si>
  <si>
    <t>49 Totale</t>
  </si>
  <si>
    <t>51 Totale</t>
  </si>
  <si>
    <t>54 Totale</t>
  </si>
  <si>
    <t>59.1 Totale</t>
  </si>
  <si>
    <t>59.11 Totale</t>
  </si>
  <si>
    <t>59.12 Totale</t>
  </si>
  <si>
    <t>59.13 Totale</t>
  </si>
  <si>
    <t>59.2 Totale</t>
  </si>
  <si>
    <t>59.21 Totale</t>
  </si>
  <si>
    <t>59.3 Totale</t>
  </si>
  <si>
    <t>59.4 Totale</t>
  </si>
  <si>
    <t>54.1 Totale</t>
  </si>
  <si>
    <t>Totale complessivo</t>
  </si>
  <si>
    <t>Ricerca Agraria Legnaro</t>
  </si>
  <si>
    <t>Totale</t>
  </si>
  <si>
    <t xml:space="preserve">Azienda Diana </t>
  </si>
  <si>
    <t xml:space="preserve">Az. Sasse Rami </t>
  </si>
  <si>
    <t xml:space="preserve">Azienda Valle vecchia </t>
  </si>
  <si>
    <t xml:space="preserve">Azienda Villiago </t>
  </si>
  <si>
    <t>Centro Po di Tramontana</t>
  </si>
  <si>
    <t xml:space="preserve">Centro Pradon </t>
  </si>
  <si>
    <t>Centro di Conegliano</t>
  </si>
  <si>
    <t xml:space="preserve">Centro Cansiglio </t>
  </si>
  <si>
    <t xml:space="preserve">Centro di Verona </t>
  </si>
  <si>
    <t>Attività del Dirigente di Settore</t>
  </si>
  <si>
    <t xml:space="preserve">Centro per la Biodiversità V. e F.F. </t>
  </si>
  <si>
    <t>Bioenergie e C.C.</t>
  </si>
  <si>
    <t>19.1</t>
  </si>
  <si>
    <t>19.1 Totale</t>
  </si>
  <si>
    <t>Direz. REGAF</t>
  </si>
  <si>
    <t>Sicurezza Direz. REGAF</t>
  </si>
  <si>
    <t>Centro di Thiene</t>
  </si>
  <si>
    <t>Centro Ittico Bonello</t>
  </si>
  <si>
    <t>Centro di Pellestrina</t>
  </si>
  <si>
    <t>Centro Ittico Valdastico</t>
  </si>
  <si>
    <t>Attività faunistica</t>
  </si>
  <si>
    <t>Formazione e Informazione</t>
  </si>
  <si>
    <t>Sicurezza Sez. Innovazione</t>
  </si>
  <si>
    <t>Ufficio Stampa</t>
  </si>
  <si>
    <t>Ufficio Legale</t>
  </si>
  <si>
    <t>Progetti Speciali</t>
  </si>
  <si>
    <t>Risorse a disposizione del Direttore</t>
  </si>
  <si>
    <t>Fondi di riserva</t>
  </si>
  <si>
    <t>Risorse Umane - Spesa per il personale</t>
  </si>
  <si>
    <t>Risorse Umane - Adesioni ad Associazioni</t>
  </si>
  <si>
    <t>Risorse Umane - Servizi Informatici</t>
  </si>
  <si>
    <t>Sez. Amministrativa - Patrimonio</t>
  </si>
  <si>
    <t>Sez. Amministrativa - Riforma Fondiaria Spesa Corrente</t>
  </si>
  <si>
    <t>Sez. Amministrativa - Riforma Fondiaria - Mutui</t>
  </si>
  <si>
    <t>Sez. Amministrativa - Villa R.R. - Mutui</t>
  </si>
  <si>
    <t>Sez. Amministrativa - Sicurezza</t>
  </si>
  <si>
    <t>Sez. Amministrativa - Approvvigionamenti</t>
  </si>
  <si>
    <t>Sez. Amministrativa - Servizi Informatici</t>
  </si>
  <si>
    <t>54.2 Totale</t>
  </si>
  <si>
    <t>54.2</t>
  </si>
  <si>
    <t>Settore Finanziario e Ragioneria - Spesa corrente</t>
  </si>
  <si>
    <t>Settore Finanziario e Ragioneria - Mutui</t>
  </si>
  <si>
    <t>Settore Finanziario e Ragioneria - Anticipazioni di cassa</t>
  </si>
  <si>
    <t>Miss/ Pr</t>
  </si>
  <si>
    <t>id settore</t>
  </si>
  <si>
    <t>11 Totale</t>
  </si>
  <si>
    <t>14 Totale</t>
  </si>
  <si>
    <t>15 Totale</t>
  </si>
  <si>
    <t>23 Totale</t>
  </si>
  <si>
    <t>59 Totale</t>
  </si>
  <si>
    <t>SETTORE UFFICIO STAMPA,</t>
  </si>
  <si>
    <t>Totale Complessivo</t>
  </si>
  <si>
    <t>UFFICIO LEGALE</t>
  </si>
  <si>
    <t>PROGETTI SPECIALI</t>
  </si>
  <si>
    <t>acquisto medicinali e beni di consumo sanitario</t>
  </si>
  <si>
    <t>Centro Cansiglio - Investimenti prioritari</t>
  </si>
  <si>
    <t>Acquisizione figura dedicata per la gestione dell'attività istituzionale sui social - lavoro interinale</t>
  </si>
  <si>
    <t>dott. Lorenzo Furlan</t>
  </si>
  <si>
    <t>dott. Michele Giannini</t>
  </si>
  <si>
    <t>vedi foglio 2.Manodopera</t>
  </si>
  <si>
    <t>d.ssa Paola Berto</t>
  </si>
  <si>
    <t>dott. Federico Correale</t>
  </si>
  <si>
    <t>dott. Giustino Mezzalira</t>
  </si>
  <si>
    <t>SETTORE BIOTECNOLOGIE AGROALIMENTARI    E    SETTORE ANALISI AGROALIMENTARI</t>
  </si>
  <si>
    <t>dott. Dino Spolaor</t>
  </si>
  <si>
    <t>dott. Alessandro Censori</t>
  </si>
  <si>
    <t xml:space="preserve">Fondo sicurezza sez. REGAF (con decreto del Direttore della Sezione le risorse finanziarie necessarie dovranno essere  spostate al capitolo corretto in relazione al tipo di spesa che si rende necessaria) </t>
  </si>
  <si>
    <t xml:space="preserve">Fondo sicurezza sez. INNOVAZIONE (con decreto del Direttore della Sezione le risorse finanziarie necessarie dovranno essere  spostate al capitolo corretto in relazione al tipo di spesa che si rende necessaria) </t>
  </si>
  <si>
    <t>docenti / relatori (prestaz. Occasionali)</t>
  </si>
  <si>
    <t xml:space="preserve"> IRAP su prestazioni occasionali</t>
  </si>
  <si>
    <t>dott. Domenico Vita</t>
  </si>
  <si>
    <t>dott. Franco Doldo</t>
  </si>
  <si>
    <t>dott. Franco Norido</t>
  </si>
  <si>
    <t>dirigenti diversi</t>
  </si>
  <si>
    <t>dott. Cesare Gulinelli</t>
  </si>
  <si>
    <t>d.ssa Silvia Rossi</t>
  </si>
  <si>
    <r>
      <t xml:space="preserve">Fondo sicurezza Sezione Amministrativa </t>
    </r>
    <r>
      <rPr>
        <i/>
        <sz val="9"/>
        <color indexed="8"/>
        <rFont val="Arial"/>
        <family val="2"/>
      </rPr>
      <t xml:space="preserve">(con decreto del Direttore della Sezione le risorse finanziarie necessarie dovranno essere  spostate al capitolo corretto in relazione al tipo di spesa che si rende necessaria) </t>
    </r>
  </si>
  <si>
    <t>Carburanti lubrificanti macchine agricole e Api</t>
  </si>
  <si>
    <t>Carburanti e lubrificanti macchine</t>
  </si>
  <si>
    <t>Carburanti auto e autocarri</t>
  </si>
  <si>
    <t>mezzi tecnici per la produzione di piante</t>
  </si>
  <si>
    <t>noleggio di attrezzature</t>
  </si>
  <si>
    <t>noleggio sale e attrezzature</t>
  </si>
  <si>
    <t>Canoni occupazione Malcesine e Fiume Aril (Altre spese sostenute per utilizzo di beni di terzi n.a.c.)</t>
  </si>
  <si>
    <t>d.ssa S. Rossi</t>
  </si>
  <si>
    <t xml:space="preserve">- </t>
  </si>
  <si>
    <t>OTI e OTD</t>
  </si>
  <si>
    <t>Descriz. Centro di Costo</t>
  </si>
  <si>
    <t>supporto (gimbal 3 assi per videocamera Panasonic</t>
  </si>
  <si>
    <t>Altri servizi ausiliari n.a.c.</t>
  </si>
  <si>
    <t>da individuare</t>
  </si>
  <si>
    <t>acq.servizio per  formazione obbligatoria</t>
  </si>
  <si>
    <t>Telefonia Mobile - già prevista a carico del cdc sez. Amministrativa</t>
  </si>
  <si>
    <t>Rimborso Mutui e altri finanziamenti a medio lungo termine a Imprese</t>
  </si>
  <si>
    <t>Rimborso Mutui e altri finanziamenti a medio lungo termine ad Amministrazioni Centrali</t>
  </si>
  <si>
    <t>TOTALE COMPLESSIVO</t>
  </si>
  <si>
    <t>Serv. Forestale Ovest Verona - Totale Att. Ordinaria</t>
  </si>
  <si>
    <t>Serv. Forestale Ovest Vicenza - Totale Att. Ordinaria</t>
  </si>
  <si>
    <t>Serv. Forestale Est Belluno - Totale Att. Ordinaria</t>
  </si>
  <si>
    <t>Convenz. Ente Parco Colli - Totale Att. Ordinaria</t>
  </si>
  <si>
    <t>Serv. Forestale Ovest Padova e Rovigo - Tot. Att. Ordinaria</t>
  </si>
  <si>
    <t>Serv. Forestale Est Treviso e Venezia - Tot. Att.  Ordinaria</t>
  </si>
  <si>
    <t>Titolo 2 - Investimenti</t>
  </si>
  <si>
    <t>Titolo 1 - Spese correnti</t>
  </si>
</sst>
</file>

<file path=xl/styles.xml><?xml version="1.0" encoding="utf-8"?>
<styleSheet xmlns="http://schemas.openxmlformats.org/spreadsheetml/2006/main">
  <numFmts count="7"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-[$€]\ * #,##0.00_-;\-[$€]\ * #,##0.00_-;_-[$€]\ * &quot;-&quot;??_-;_-@_-"/>
    <numFmt numFmtId="168" formatCode="0.0%"/>
    <numFmt numFmtId="169" formatCode="_(* #,##0_);_(* \(#,##0\);_(* &quot;-&quot;??_);_(@_)"/>
    <numFmt numFmtId="170" formatCode="_-* #,##0_-;\-* #,##0_-;_-* &quot;-&quot;??_-;_-@_-"/>
  </numFmts>
  <fonts count="116"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theme="3"/>
      <name val="Arial"/>
      <family val="2"/>
    </font>
    <font>
      <i/>
      <sz val="10"/>
      <name val="Arial"/>
      <family val="2"/>
    </font>
    <font>
      <b/>
      <sz val="8"/>
      <color indexed="62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9" tint="-0.4999699890613556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9" tint="0.3999800086021423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9" tint="-0.4999699890613556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3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i/>
      <sz val="10"/>
      <color rgb="FF7030A0"/>
      <name val="Arial"/>
      <family val="2"/>
    </font>
    <font>
      <i/>
      <sz val="11"/>
      <color rgb="FFC00000"/>
      <name val="Calibri"/>
      <family val="2"/>
      <scheme val="minor"/>
    </font>
    <font>
      <b/>
      <sz val="11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</font>
    <font>
      <b/>
      <sz val="10"/>
      <name val="Calibri"/>
      <family val="2"/>
    </font>
    <font>
      <b/>
      <sz val="10.5"/>
      <color indexed="8"/>
      <name val="Calibri"/>
      <family val="2"/>
    </font>
    <font>
      <b/>
      <sz val="10.5"/>
      <color theme="1"/>
      <name val="Calibri"/>
      <family val="2"/>
    </font>
    <font>
      <sz val="10.5"/>
      <color indexed="8"/>
      <name val="Calibri"/>
      <family val="2"/>
    </font>
    <font>
      <b/>
      <strike/>
      <sz val="10.5"/>
      <color indexed="8"/>
      <name val="Calibri"/>
      <family val="2"/>
    </font>
    <font>
      <b/>
      <sz val="10.5"/>
      <name val="Calibri"/>
      <family val="2"/>
    </font>
    <font>
      <i/>
      <sz val="10.5"/>
      <color indexed="8"/>
      <name val="Calibri"/>
      <family val="2"/>
    </font>
    <font>
      <i/>
      <sz val="10.5"/>
      <color theme="1"/>
      <name val="Calibri"/>
      <family val="2"/>
    </font>
    <font>
      <sz val="10"/>
      <name val="MS Sans Serif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rgb="FF00B05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00B050"/>
      <name val="Arial"/>
      <family val="2"/>
    </font>
    <font>
      <i/>
      <sz val="8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rgb="FF7030A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10"/>
      <color rgb="FFC00000"/>
      <name val="Arial"/>
      <family val="2"/>
    </font>
    <font>
      <i/>
      <sz val="9"/>
      <name val="Arial"/>
      <family val="2"/>
    </font>
    <font>
      <b/>
      <sz val="9"/>
      <color rgb="FFFFFF99"/>
      <name val="Arial"/>
      <family val="2"/>
    </font>
    <font>
      <b/>
      <sz val="10"/>
      <color rgb="FFFFFF99"/>
      <name val="Arial"/>
      <family val="2"/>
    </font>
    <font>
      <b/>
      <sz val="12"/>
      <color theme="3"/>
      <name val="Arial"/>
      <family val="2"/>
    </font>
    <font>
      <i/>
      <sz val="10"/>
      <color rgb="FFC00000"/>
      <name val="Calibri"/>
      <family val="2"/>
      <scheme val="minor"/>
    </font>
    <font>
      <b/>
      <sz val="10"/>
      <name val="MS Sans Serif"/>
      <family val="2"/>
    </font>
    <font>
      <b/>
      <sz val="10"/>
      <color theme="1"/>
      <name val="Calibri"/>
      <family val="2"/>
    </font>
    <font>
      <b/>
      <sz val="13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theme="1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b/>
      <sz val="11"/>
      <color rgb="FFC00000"/>
      <name val="Calibri"/>
      <family val="2"/>
    </font>
    <font>
      <sz val="9"/>
      <color theme="3"/>
      <name val="Calibri"/>
      <family val="2"/>
    </font>
    <font>
      <b/>
      <sz val="8"/>
      <color rgb="FFC00000"/>
      <name val="Arial"/>
      <family val="2"/>
    </font>
    <font>
      <b/>
      <strike/>
      <sz val="9"/>
      <color indexed="8"/>
      <name val="Calibri"/>
      <family val="2"/>
    </font>
    <font>
      <strike/>
      <sz val="9"/>
      <color indexed="8"/>
      <name val="Calibri"/>
      <family val="2"/>
    </font>
    <font>
      <sz val="9"/>
      <name val="Calibri"/>
      <family val="2"/>
    </font>
    <font>
      <b/>
      <i/>
      <sz val="10"/>
      <name val="Arial"/>
      <family val="2"/>
    </font>
    <font>
      <strike/>
      <sz val="11"/>
      <color theme="3"/>
      <name val="Calibri"/>
      <family val="2"/>
      <scheme val="minor"/>
    </font>
    <font>
      <b/>
      <strike/>
      <sz val="11"/>
      <color theme="9" tint="-0.4999699890613556"/>
      <name val="Calibri"/>
      <family val="2"/>
      <scheme val="minor"/>
    </font>
    <font>
      <b/>
      <strike/>
      <sz val="12"/>
      <color theme="9" tint="0.39998000860214233"/>
      <name val="Calibri"/>
      <family val="2"/>
      <scheme val="minor"/>
    </font>
    <font>
      <strike/>
      <sz val="12"/>
      <color theme="3"/>
      <name val="Calibri"/>
      <family val="2"/>
      <scheme val="minor"/>
    </font>
    <font>
      <strike/>
      <sz val="10"/>
      <color indexed="8"/>
      <name val="Arial"/>
      <family val="2"/>
    </font>
    <font>
      <i/>
      <strike/>
      <sz val="11"/>
      <color theme="3"/>
      <name val="Calibri"/>
      <family val="2"/>
      <scheme val="minor"/>
    </font>
    <font>
      <b/>
      <i/>
      <strike/>
      <sz val="11"/>
      <color theme="9" tint="-0.4999699890613556"/>
      <name val="Calibri"/>
      <family val="2"/>
      <scheme val="minor"/>
    </font>
    <font>
      <b/>
      <i/>
      <strike/>
      <sz val="11"/>
      <color theme="3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i/>
      <strike/>
      <sz val="11"/>
      <color rgb="FF7030A0"/>
      <name val="Calibri"/>
      <family val="2"/>
      <scheme val="minor"/>
    </font>
    <font>
      <b/>
      <i/>
      <strike/>
      <sz val="11"/>
      <color rgb="FF7030A0"/>
      <name val="Calibri"/>
      <family val="2"/>
      <scheme val="minor"/>
    </font>
    <font>
      <strike/>
      <sz val="11"/>
      <color rgb="FFC00000"/>
      <name val="Calibri"/>
      <family val="2"/>
      <scheme val="minor"/>
    </font>
    <font>
      <b/>
      <strike/>
      <sz val="11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/>
      <name val="Arial"/>
      <family val="2"/>
    </font>
    <font>
      <b/>
      <i/>
      <sz val="9"/>
      <color theme="3"/>
      <name val="Arial"/>
      <family val="2"/>
    </font>
    <font>
      <sz val="8"/>
      <color rgb="FF333399"/>
      <name val="Arial"/>
      <family val="2"/>
    </font>
    <font>
      <b/>
      <sz val="8"/>
      <color rgb="FF333399"/>
      <name val="Arial"/>
      <family val="2"/>
    </font>
    <font>
      <b/>
      <sz val="9"/>
      <color theme="3"/>
      <name val="Arial"/>
      <family val="2"/>
    </font>
    <font>
      <b/>
      <sz val="10"/>
      <color indexed="10"/>
      <name val="Arial"/>
      <family val="2"/>
    </font>
    <font>
      <sz val="9"/>
      <color rgb="FFC00000"/>
      <name val="Arial"/>
      <family val="2"/>
    </font>
    <font>
      <b/>
      <sz val="9"/>
      <color indexed="60"/>
      <name val="Arial"/>
      <family val="2"/>
    </font>
    <font>
      <b/>
      <i/>
      <sz val="9"/>
      <color indexed="8"/>
      <name val="Arial"/>
      <family val="2"/>
    </font>
    <font>
      <b/>
      <sz val="9"/>
      <name val="Tahoma"/>
      <family val="2"/>
    </font>
    <font>
      <b/>
      <sz val="13"/>
      <name val="Calibri"/>
      <family val="2"/>
    </font>
  </fonts>
  <fills count="1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/>
      <bottom style="double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22"/>
      </right>
      <top/>
      <bottom/>
    </border>
    <border>
      <left style="thin">
        <color indexed="22"/>
      </left>
      <right/>
      <top style="thin"/>
      <bottom style="thin"/>
    </border>
    <border>
      <left style="thin">
        <color indexed="22"/>
      </left>
      <right/>
      <top/>
      <bottom style="thin"/>
    </border>
    <border>
      <left/>
      <right/>
      <top/>
      <bottom style="thin"/>
    </border>
    <border>
      <left style="thin">
        <color indexed="22"/>
      </left>
      <right/>
      <top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tted">
        <color theme="0" tint="-0.24993999302387238"/>
      </top>
      <bottom style="dotted">
        <color theme="0" tint="-0.24993999302387238"/>
      </bottom>
    </border>
    <border>
      <left style="thin"/>
      <right/>
      <top style="dotted">
        <color theme="0" tint="-0.24993999302387238"/>
      </top>
      <bottom style="dotted">
        <color theme="0" tint="-0.24993999302387238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/>
      <top style="medium"/>
      <bottom style="medium"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22"/>
      </right>
      <top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/>
      <right style="thin">
        <color indexed="22"/>
      </right>
      <top/>
      <bottom/>
    </border>
    <border>
      <left style="thin"/>
      <right/>
      <top style="medium"/>
      <bottom style="medium"/>
    </border>
    <border>
      <left style="thin">
        <color indexed="22"/>
      </left>
      <right style="thin">
        <color indexed="22"/>
      </right>
      <top style="thin"/>
      <bottom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8"/>
      </top>
      <bottom/>
    </border>
    <border>
      <left/>
      <right style="thin">
        <color indexed="22"/>
      </right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1" fillId="0" borderId="0">
      <alignment/>
      <protection/>
    </xf>
  </cellStyleXfs>
  <cellXfs count="786">
    <xf numFmtId="0" fontId="0" fillId="0" borderId="0" xfId="0"/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66" fontId="0" fillId="0" borderId="0" xfId="20" applyFont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25" fillId="0" borderId="2" xfId="21" applyNumberFormat="1" applyFont="1" applyBorder="1" applyAlignment="1">
      <alignment horizontal="center" vertical="center"/>
      <protection/>
    </xf>
    <xf numFmtId="0" fontId="26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3" fontId="30" fillId="3" borderId="2" xfId="21" applyNumberFormat="1" applyFont="1" applyFill="1" applyBorder="1" applyAlignment="1">
      <alignment horizontal="center" vertical="center"/>
      <protection/>
    </xf>
    <xf numFmtId="0" fontId="26" fillId="3" borderId="2" xfId="21" applyFont="1" applyFill="1" applyBorder="1" applyAlignment="1">
      <alignment horizontal="center" vertical="center"/>
      <protection/>
    </xf>
    <xf numFmtId="0" fontId="26" fillId="3" borderId="2" xfId="21" applyFont="1" applyFill="1" applyBorder="1" applyAlignment="1">
      <alignment horizontal="left" vertical="center" indent="2"/>
      <protection/>
    </xf>
    <xf numFmtId="0" fontId="31" fillId="3" borderId="2" xfId="21" applyFont="1" applyFill="1" applyBorder="1" applyAlignment="1">
      <alignment horizontal="left" vertical="center" indent="2"/>
      <protection/>
    </xf>
    <xf numFmtId="0" fontId="26" fillId="3" borderId="2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6" fillId="0" borderId="0" xfId="21" applyFont="1" applyFill="1" applyAlignment="1">
      <alignment vertical="center"/>
      <protection/>
    </xf>
    <xf numFmtId="0" fontId="35" fillId="0" borderId="2" xfId="21" applyFont="1" applyFill="1" applyBorder="1" applyAlignment="1">
      <alignment horizontal="center" vertical="center"/>
      <protection/>
    </xf>
    <xf numFmtId="0" fontId="35" fillId="0" borderId="2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3" fontId="25" fillId="0" borderId="2" xfId="21" applyNumberFormat="1" applyFont="1" applyFill="1" applyBorder="1" applyAlignment="1">
      <alignment horizontal="center" vertical="center"/>
      <protection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4" fillId="3" borderId="2" xfId="21" applyFont="1" applyFill="1" applyBorder="1" applyAlignment="1">
      <alignment horizontal="center" vertical="center"/>
      <protection/>
    </xf>
    <xf numFmtId="0" fontId="34" fillId="3" borderId="2" xfId="21" applyFont="1" applyFill="1" applyBorder="1" applyAlignment="1">
      <alignment horizontal="left" vertical="center" indent="2"/>
      <protection/>
    </xf>
    <xf numFmtId="0" fontId="38" fillId="3" borderId="2" xfId="21" applyFont="1" applyFill="1" applyBorder="1" applyAlignment="1">
      <alignment horizontal="left" vertical="center" indent="2"/>
      <protection/>
    </xf>
    <xf numFmtId="0" fontId="34" fillId="3" borderId="2" xfId="0" applyFont="1" applyFill="1" applyBorder="1" applyAlignment="1">
      <alignment vertical="center"/>
    </xf>
    <xf numFmtId="0" fontId="39" fillId="0" borderId="0" xfId="21" applyFont="1" applyFill="1" applyAlignment="1">
      <alignment vertical="center"/>
      <protection/>
    </xf>
    <xf numFmtId="0" fontId="40" fillId="0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7" fillId="0" borderId="2" xfId="21" applyFont="1" applyFill="1" applyBorder="1" applyAlignment="1">
      <alignment horizontal="center" vertical="center"/>
      <protection/>
    </xf>
    <xf numFmtId="0" fontId="27" fillId="0" borderId="2" xfId="21" applyFont="1" applyFill="1" applyBorder="1" applyAlignment="1">
      <alignment vertical="center"/>
      <protection/>
    </xf>
    <xf numFmtId="0" fontId="0" fillId="0" borderId="2" xfId="0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" fillId="0" borderId="0" xfId="21" applyFill="1" applyAlignment="1">
      <alignment vertical="center"/>
      <protection/>
    </xf>
    <xf numFmtId="0" fontId="35" fillId="0" borderId="0" xfId="0" applyFont="1" applyAlignment="1">
      <alignment vertical="center"/>
    </xf>
    <xf numFmtId="3" fontId="41" fillId="0" borderId="2" xfId="21" applyNumberFormat="1" applyFont="1" applyBorder="1" applyAlignment="1">
      <alignment horizontal="center" vertical="center"/>
      <protection/>
    </xf>
    <xf numFmtId="0" fontId="42" fillId="0" borderId="2" xfId="0" applyFont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35" fillId="0" borderId="2" xfId="21" applyFont="1" applyFill="1" applyBorder="1" applyAlignment="1">
      <alignment vertical="center"/>
      <protection/>
    </xf>
    <xf numFmtId="0" fontId="36" fillId="0" borderId="2" xfId="21" applyFont="1" applyFill="1" applyBorder="1" applyAlignment="1">
      <alignment vertical="center"/>
      <protection/>
    </xf>
    <xf numFmtId="0" fontId="43" fillId="0" borderId="2" xfId="0" applyFont="1" applyBorder="1" applyAlignment="1">
      <alignment horizontal="left" vertical="center" wrapText="1"/>
    </xf>
    <xf numFmtId="3" fontId="9" fillId="0" borderId="2" xfId="21" applyNumberFormat="1" applyFont="1" applyBorder="1" applyAlignment="1">
      <alignment horizontal="center" vertical="center"/>
      <protection/>
    </xf>
    <xf numFmtId="0" fontId="45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2" fillId="0" borderId="0" xfId="23" applyFill="1" applyAlignment="1">
      <alignment vertical="center"/>
      <protection/>
    </xf>
    <xf numFmtId="0" fontId="2" fillId="0" borderId="0" xfId="23" applyFill="1" applyBorder="1" applyAlignment="1">
      <alignment vertical="center"/>
      <protection/>
    </xf>
    <xf numFmtId="0" fontId="2" fillId="0" borderId="0" xfId="23" applyFill="1" applyAlignment="1">
      <alignment horizontal="center" vertical="center"/>
      <protection/>
    </xf>
    <xf numFmtId="0" fontId="2" fillId="0" borderId="0" xfId="23" applyFill="1" applyAlignment="1">
      <alignment horizontal="left" vertical="center"/>
      <protection/>
    </xf>
    <xf numFmtId="0" fontId="35" fillId="0" borderId="0" xfId="23" applyFont="1" applyFill="1" applyAlignment="1">
      <alignment vertical="center"/>
      <protection/>
    </xf>
    <xf numFmtId="0" fontId="24" fillId="0" borderId="0" xfId="23" applyFont="1" applyFill="1" applyAlignment="1">
      <alignment vertical="center"/>
      <protection/>
    </xf>
    <xf numFmtId="0" fontId="24" fillId="0" borderId="0" xfId="23" applyFont="1" applyFill="1" applyBorder="1" applyAlignment="1">
      <alignment vertical="center"/>
      <protection/>
    </xf>
    <xf numFmtId="9" fontId="2" fillId="0" borderId="0" xfId="23" applyNumberFormat="1" applyFill="1" applyBorder="1" applyAlignment="1">
      <alignment vertical="center"/>
      <protection/>
    </xf>
    <xf numFmtId="165" fontId="2" fillId="0" borderId="0" xfId="24" applyFont="1" applyFill="1" applyBorder="1" applyAlignment="1">
      <alignment vertical="center"/>
    </xf>
    <xf numFmtId="0" fontId="36" fillId="0" borderId="0" xfId="23" applyFont="1" applyFill="1" applyAlignment="1">
      <alignment vertical="center"/>
      <protection/>
    </xf>
    <xf numFmtId="0" fontId="15" fillId="0" borderId="0" xfId="0" applyFont="1" applyAlignment="1">
      <alignment horizontal="center" vertical="center"/>
    </xf>
    <xf numFmtId="165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6" fontId="5" fillId="0" borderId="0" xfId="2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6" fontId="0" fillId="0" borderId="1" xfId="2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6" fontId="0" fillId="0" borderId="3" xfId="2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46" fillId="0" borderId="0" xfId="23" applyFont="1" applyFill="1" applyAlignment="1">
      <alignment vertical="center"/>
      <protection/>
    </xf>
    <xf numFmtId="0" fontId="46" fillId="0" borderId="0" xfId="23" applyFont="1" applyFill="1" applyBorder="1" applyAlignment="1">
      <alignment vertical="center"/>
      <protection/>
    </xf>
    <xf numFmtId="0" fontId="59" fillId="0" borderId="8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vertical="center" wrapText="1"/>
    </xf>
    <xf numFmtId="0" fontId="58" fillId="0" borderId="3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vertical="center" wrapText="1"/>
    </xf>
    <xf numFmtId="0" fontId="58" fillId="0" borderId="8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61" fillId="5" borderId="9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0" borderId="0" xfId="20" applyFont="1" applyFill="1" applyBorder="1" applyAlignment="1">
      <alignment horizontal="right" vertical="center" wrapText="1"/>
    </xf>
    <xf numFmtId="166" fontId="0" fillId="0" borderId="8" xfId="20" applyFont="1" applyFill="1" applyBorder="1" applyAlignment="1">
      <alignment horizontal="right" vertical="center" wrapText="1"/>
    </xf>
    <xf numFmtId="0" fontId="59" fillId="0" borderId="3" xfId="0" applyFont="1" applyFill="1" applyBorder="1" applyAlignment="1">
      <alignment vertical="center" wrapText="1"/>
    </xf>
    <xf numFmtId="0" fontId="65" fillId="0" borderId="0" xfId="0" applyFont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3" fillId="6" borderId="14" xfId="0" applyFont="1" applyFill="1" applyBorder="1" applyAlignment="1">
      <alignment vertical="center" wrapText="1"/>
    </xf>
    <xf numFmtId="0" fontId="13" fillId="6" borderId="15" xfId="0" applyFont="1" applyFill="1" applyBorder="1" applyAlignment="1">
      <alignment vertical="center" wrapText="1"/>
    </xf>
    <xf numFmtId="0" fontId="15" fillId="6" borderId="15" xfId="0" applyFont="1" applyFill="1" applyBorder="1" applyAlignment="1">
      <alignment horizontal="left" vertical="center" wrapText="1"/>
    </xf>
    <xf numFmtId="0" fontId="13" fillId="7" borderId="16" xfId="0" applyFont="1" applyFill="1" applyBorder="1" applyAlignment="1">
      <alignment vertical="center" wrapText="1"/>
    </xf>
    <xf numFmtId="0" fontId="13" fillId="7" borderId="17" xfId="0" applyFont="1" applyFill="1" applyBorder="1" applyAlignment="1">
      <alignment vertical="center" wrapText="1"/>
    </xf>
    <xf numFmtId="0" fontId="15" fillId="7" borderId="17" xfId="0" applyFont="1" applyFill="1" applyBorder="1" applyAlignment="1">
      <alignment horizontal="left" vertical="center" wrapText="1"/>
    </xf>
    <xf numFmtId="0" fontId="19" fillId="7" borderId="16" xfId="0" applyFont="1" applyFill="1" applyBorder="1" applyAlignment="1">
      <alignment vertical="center" wrapText="1"/>
    </xf>
    <xf numFmtId="0" fontId="19" fillId="7" borderId="17" xfId="0" applyFont="1" applyFill="1" applyBorder="1" applyAlignment="1">
      <alignment vertical="center" wrapText="1"/>
    </xf>
    <xf numFmtId="0" fontId="5" fillId="7" borderId="17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 vertical="center"/>
    </xf>
    <xf numFmtId="0" fontId="71" fillId="0" borderId="1" xfId="0" applyFont="1" applyFill="1" applyBorder="1" applyAlignment="1">
      <alignment horizontal="left" vertical="center" wrapText="1"/>
    </xf>
    <xf numFmtId="0" fontId="71" fillId="0" borderId="8" xfId="0" applyFont="1" applyFill="1" applyBorder="1" applyAlignment="1">
      <alignment horizontal="left" vertical="center" wrapText="1"/>
    </xf>
    <xf numFmtId="0" fontId="71" fillId="0" borderId="3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60" fillId="0" borderId="0" xfId="20" applyFont="1" applyAlignment="1">
      <alignment horizontal="center" vertical="center"/>
    </xf>
    <xf numFmtId="166" fontId="0" fillId="0" borderId="1" xfId="2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166" fontId="1" fillId="0" borderId="0" xfId="20" applyFont="1" applyAlignment="1">
      <alignment vertical="center"/>
    </xf>
    <xf numFmtId="166" fontId="3" fillId="6" borderId="15" xfId="20" applyFont="1" applyFill="1" applyBorder="1" applyAlignment="1">
      <alignment horizontal="center" vertical="center"/>
    </xf>
    <xf numFmtId="166" fontId="3" fillId="0" borderId="10" xfId="20" applyFont="1" applyFill="1" applyBorder="1" applyAlignment="1">
      <alignment horizontal="center" vertical="center"/>
    </xf>
    <xf numFmtId="166" fontId="0" fillId="0" borderId="0" xfId="20" applyFont="1" applyAlignment="1">
      <alignment horizontal="center" vertical="center"/>
    </xf>
    <xf numFmtId="9" fontId="1" fillId="0" borderId="1" xfId="32" applyFont="1" applyFill="1" applyBorder="1" applyAlignment="1">
      <alignment horizontal="center" vertical="center" wrapText="1"/>
    </xf>
    <xf numFmtId="9" fontId="0" fillId="0" borderId="1" xfId="32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168" fontId="68" fillId="0" borderId="1" xfId="32" applyNumberFormat="1" applyFont="1" applyFill="1" applyBorder="1" applyAlignment="1">
      <alignment horizontal="center" vertical="center" wrapText="1"/>
    </xf>
    <xf numFmtId="168" fontId="64" fillId="0" borderId="1" xfId="32" applyNumberFormat="1" applyFont="1" applyFill="1" applyBorder="1" applyAlignment="1">
      <alignment horizontal="center" vertical="center" wrapText="1"/>
    </xf>
    <xf numFmtId="168" fontId="64" fillId="0" borderId="8" xfId="32" applyNumberFormat="1" applyFont="1" applyFill="1" applyBorder="1" applyAlignment="1">
      <alignment horizontal="center" vertical="center" wrapText="1"/>
    </xf>
    <xf numFmtId="168" fontId="64" fillId="0" borderId="0" xfId="20" applyNumberFormat="1" applyFont="1" applyAlignment="1">
      <alignment horizontal="center" vertical="center"/>
    </xf>
    <xf numFmtId="166" fontId="73" fillId="7" borderId="17" xfId="20" applyFont="1" applyFill="1" applyBorder="1" applyAlignment="1">
      <alignment horizontal="center" vertical="center" wrapText="1"/>
    </xf>
    <xf numFmtId="166" fontId="19" fillId="5" borderId="4" xfId="2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67" fillId="5" borderId="4" xfId="0" applyFont="1" applyFill="1" applyBorder="1" applyAlignment="1">
      <alignment horizontal="center" vertical="center"/>
    </xf>
    <xf numFmtId="3" fontId="3" fillId="7" borderId="17" xfId="20" applyNumberFormat="1" applyFont="1" applyFill="1" applyBorder="1" applyAlignment="1">
      <alignment horizontal="center" vertical="center" wrapText="1"/>
    </xf>
    <xf numFmtId="3" fontId="70" fillId="7" borderId="17" xfId="20" applyNumberFormat="1" applyFont="1" applyFill="1" applyBorder="1" applyAlignment="1">
      <alignment horizontal="center" vertical="center" wrapText="1"/>
    </xf>
    <xf numFmtId="3" fontId="5" fillId="7" borderId="17" xfId="20" applyNumberFormat="1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166" fontId="3" fillId="0" borderId="0" xfId="20" applyFont="1" applyFill="1" applyBorder="1" applyAlignment="1">
      <alignment horizontal="center" vertical="center"/>
    </xf>
    <xf numFmtId="166" fontId="3" fillId="0" borderId="0" xfId="20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5" fillId="9" borderId="3" xfId="0" applyNumberFormat="1" applyFont="1" applyFill="1" applyBorder="1" applyAlignment="1" quotePrefix="1">
      <alignment horizontal="center" vertical="center" wrapText="1"/>
    </xf>
    <xf numFmtId="166" fontId="0" fillId="0" borderId="10" xfId="20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vertical="center" wrapText="1"/>
    </xf>
    <xf numFmtId="0" fontId="5" fillId="9" borderId="3" xfId="0" applyNumberFormat="1" applyFont="1" applyFill="1" applyBorder="1" applyAlignment="1">
      <alignment horizontal="center" vertical="center" wrapText="1"/>
    </xf>
    <xf numFmtId="0" fontId="69" fillId="7" borderId="17" xfId="0" applyFont="1" applyFill="1" applyBorder="1" applyAlignment="1">
      <alignment horizontal="center" vertical="center" wrapText="1"/>
    </xf>
    <xf numFmtId="166" fontId="3" fillId="7" borderId="17" xfId="20" applyFont="1" applyFill="1" applyBorder="1" applyAlignment="1">
      <alignment horizontal="right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5" fillId="7" borderId="17" xfId="0" applyNumberFormat="1" applyFont="1" applyFill="1" applyBorder="1" applyAlignment="1">
      <alignment horizontal="center" vertical="center" wrapText="1"/>
    </xf>
    <xf numFmtId="0" fontId="69" fillId="7" borderId="17" xfId="0" applyFont="1" applyFill="1" applyBorder="1" applyAlignment="1">
      <alignment vertical="center" wrapText="1"/>
    </xf>
    <xf numFmtId="0" fontId="3" fillId="7" borderId="1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166" fontId="1" fillId="0" borderId="10" xfId="20" applyFont="1" applyFill="1" applyBorder="1" applyAlignment="1">
      <alignment horizontal="right" vertical="center" wrapText="1"/>
    </xf>
    <xf numFmtId="166" fontId="1" fillId="0" borderId="0" xfId="20" applyFont="1" applyFill="1" applyBorder="1" applyAlignment="1">
      <alignment horizontal="right" vertical="center" wrapText="1"/>
    </xf>
    <xf numFmtId="0" fontId="61" fillId="7" borderId="17" xfId="0" applyFont="1" applyFill="1" applyBorder="1" applyAlignment="1">
      <alignment horizontal="center" vertical="center" wrapText="1"/>
    </xf>
    <xf numFmtId="0" fontId="61" fillId="7" borderId="17" xfId="0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/>
    </xf>
    <xf numFmtId="0" fontId="69" fillId="6" borderId="19" xfId="0" applyFont="1" applyFill="1" applyBorder="1" applyAlignment="1">
      <alignment horizontal="center" vertical="center" wrapText="1"/>
    </xf>
    <xf numFmtId="169" fontId="3" fillId="6" borderId="13" xfId="20" applyNumberFormat="1" applyFont="1" applyFill="1" applyBorder="1" applyAlignment="1">
      <alignment vertical="center" wrapText="1"/>
    </xf>
    <xf numFmtId="166" fontId="3" fillId="6" borderId="13" xfId="20" applyFont="1" applyFill="1" applyBorder="1" applyAlignment="1">
      <alignment horizontal="right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3" xfId="0" applyNumberFormat="1" applyFont="1" applyFill="1" applyBorder="1" applyAlignment="1">
      <alignment horizontal="center" vertical="center" wrapText="1"/>
    </xf>
    <xf numFmtId="0" fontId="69" fillId="6" borderId="17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/>
    </xf>
    <xf numFmtId="166" fontId="1" fillId="0" borderId="1" xfId="20" applyFont="1" applyFill="1" applyBorder="1" applyAlignment="1">
      <alignment horizontal="right" vertical="center" wrapText="1"/>
    </xf>
    <xf numFmtId="0" fontId="5" fillId="10" borderId="1" xfId="0" applyNumberFormat="1" applyFont="1" applyFill="1" applyBorder="1" applyAlignment="1" quotePrefix="1">
      <alignment horizontal="center" vertical="center" wrapText="1"/>
    </xf>
    <xf numFmtId="0" fontId="5" fillId="10" borderId="1" xfId="0" applyNumberFormat="1" applyFont="1" applyFill="1" applyBorder="1" applyAlignment="1">
      <alignment horizontal="center" vertical="center" wrapText="1"/>
    </xf>
    <xf numFmtId="0" fontId="5" fillId="10" borderId="8" xfId="0" applyNumberFormat="1" applyFont="1" applyFill="1" applyBorder="1" applyAlignment="1">
      <alignment horizontal="center" vertical="center" wrapText="1"/>
    </xf>
    <xf numFmtId="168" fontId="18" fillId="7" borderId="17" xfId="0" applyNumberFormat="1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69" fillId="7" borderId="17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72" fillId="7" borderId="17" xfId="0" applyFont="1" applyFill="1" applyBorder="1" applyAlignment="1">
      <alignment horizontal="center" vertical="center" wrapText="1"/>
    </xf>
    <xf numFmtId="0" fontId="69" fillId="6" borderId="20" xfId="0" applyFont="1" applyFill="1" applyBorder="1" applyAlignment="1">
      <alignment horizontal="center" vertical="center" wrapText="1"/>
    </xf>
    <xf numFmtId="166" fontId="3" fillId="6" borderId="15" xfId="20" applyFont="1" applyFill="1" applyBorder="1" applyAlignment="1">
      <alignment horizontal="right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5" xfId="0" applyNumberFormat="1" applyFont="1" applyFill="1" applyBorder="1" applyAlignment="1">
      <alignment horizontal="center" vertical="center" wrapText="1"/>
    </xf>
    <xf numFmtId="0" fontId="69" fillId="6" borderId="21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vertical="center"/>
    </xf>
    <xf numFmtId="0" fontId="69" fillId="0" borderId="22" xfId="0" applyFont="1" applyFill="1" applyBorder="1" applyAlignment="1">
      <alignment horizontal="center" vertical="center" wrapText="1"/>
    </xf>
    <xf numFmtId="166" fontId="3" fillId="0" borderId="10" xfId="2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6" fontId="3" fillId="8" borderId="13" xfId="20" applyFont="1" applyFill="1" applyBorder="1" applyAlignment="1">
      <alignment horizontal="right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3" xfId="0" applyNumberFormat="1" applyFont="1" applyFill="1" applyBorder="1" applyAlignment="1">
      <alignment horizontal="center" vertical="center" wrapText="1"/>
    </xf>
    <xf numFmtId="0" fontId="69" fillId="8" borderId="17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vertical="center"/>
    </xf>
    <xf numFmtId="169" fontId="3" fillId="8" borderId="13" xfId="2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3" fillId="4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3" fontId="63" fillId="0" borderId="24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71" fillId="0" borderId="24" xfId="0" applyFont="1" applyBorder="1" applyAlignment="1">
      <alignment horizontal="left" vertical="center"/>
    </xf>
    <xf numFmtId="165" fontId="58" fillId="0" borderId="0" xfId="0" applyNumberFormat="1" applyFont="1" applyAlignment="1">
      <alignment vertical="center"/>
    </xf>
    <xf numFmtId="0" fontId="75" fillId="0" borderId="0" xfId="33" applyFont="1" applyFill="1" applyAlignment="1">
      <alignment horizontal="left" vertical="center"/>
      <protection/>
    </xf>
    <xf numFmtId="170" fontId="76" fillId="0" borderId="0" xfId="34" applyNumberFormat="1" applyFont="1" applyAlignment="1">
      <alignment horizontal="center" vertical="center" wrapText="1"/>
    </xf>
    <xf numFmtId="0" fontId="2" fillId="0" borderId="0" xfId="33" applyFill="1" applyBorder="1" applyAlignment="1">
      <alignment horizontal="left"/>
      <protection/>
    </xf>
    <xf numFmtId="0" fontId="2" fillId="0" borderId="0" xfId="33" applyFill="1" applyBorder="1">
      <alignment/>
      <protection/>
    </xf>
    <xf numFmtId="0" fontId="2" fillId="0" borderId="0" xfId="33" applyFill="1">
      <alignment/>
      <protection/>
    </xf>
    <xf numFmtId="0" fontId="48" fillId="11" borderId="26" xfId="33" applyFont="1" applyFill="1" applyBorder="1" applyAlignment="1">
      <alignment horizontal="center" vertical="top" wrapText="1"/>
      <protection/>
    </xf>
    <xf numFmtId="0" fontId="48" fillId="11" borderId="27" xfId="33" applyFont="1" applyFill="1" applyBorder="1" applyAlignment="1">
      <alignment horizontal="center" vertical="top" wrapText="1"/>
      <protection/>
    </xf>
    <xf numFmtId="0" fontId="10" fillId="8" borderId="17" xfId="33" applyFont="1" applyFill="1" applyBorder="1" applyAlignment="1">
      <alignment horizontal="center"/>
      <protection/>
    </xf>
    <xf numFmtId="0" fontId="10" fillId="8" borderId="16" xfId="33" applyFont="1" applyFill="1" applyBorder="1" applyAlignment="1">
      <alignment horizontal="center"/>
      <protection/>
    </xf>
    <xf numFmtId="0" fontId="78" fillId="12" borderId="27" xfId="33" applyFont="1" applyFill="1" applyBorder="1" applyAlignment="1">
      <alignment horizontal="left" vertical="center"/>
      <protection/>
    </xf>
    <xf numFmtId="0" fontId="2" fillId="0" borderId="0" xfId="33" applyFill="1" applyAlignment="1">
      <alignment horizontal="left"/>
      <protection/>
    </xf>
    <xf numFmtId="0" fontId="49" fillId="13" borderId="26" xfId="33" applyFont="1" applyFill="1" applyBorder="1" applyAlignment="1">
      <alignment horizontal="center" vertical="top"/>
      <protection/>
    </xf>
    <xf numFmtId="0" fontId="49" fillId="13" borderId="27" xfId="33" applyFont="1" applyFill="1" applyBorder="1" applyAlignment="1">
      <alignment horizontal="center" vertical="top"/>
      <protection/>
    </xf>
    <xf numFmtId="0" fontId="50" fillId="13" borderId="27" xfId="33" applyFont="1" applyFill="1" applyBorder="1" applyAlignment="1">
      <alignment vertical="top"/>
      <protection/>
    </xf>
    <xf numFmtId="0" fontId="49" fillId="13" borderId="26" xfId="33" applyFont="1" applyFill="1" applyBorder="1" applyAlignment="1">
      <alignment horizontal="right" vertical="top"/>
      <protection/>
    </xf>
    <xf numFmtId="0" fontId="10" fillId="0" borderId="0" xfId="33" applyFont="1" applyFill="1" applyAlignment="1">
      <alignment horizontal="center"/>
      <protection/>
    </xf>
    <xf numFmtId="0" fontId="79" fillId="14" borderId="26" xfId="33" applyFont="1" applyFill="1" applyBorder="1" applyAlignment="1">
      <alignment horizontal="center" vertical="top"/>
      <protection/>
    </xf>
    <xf numFmtId="0" fontId="79" fillId="14" borderId="27" xfId="33" applyFont="1" applyFill="1" applyBorder="1" applyAlignment="1">
      <alignment horizontal="center" vertical="top"/>
      <protection/>
    </xf>
    <xf numFmtId="0" fontId="77" fillId="14" borderId="27" xfId="33" applyFont="1" applyFill="1" applyBorder="1" applyAlignment="1">
      <alignment horizontal="left" vertical="top" indent="1"/>
      <protection/>
    </xf>
    <xf numFmtId="0" fontId="79" fillId="14" borderId="26" xfId="33" applyFont="1" applyFill="1" applyBorder="1" applyAlignment="1">
      <alignment horizontal="right" vertical="top"/>
      <protection/>
    </xf>
    <xf numFmtId="0" fontId="80" fillId="0" borderId="26" xfId="33" applyFont="1" applyFill="1" applyBorder="1" applyAlignment="1">
      <alignment horizontal="center" vertical="top" wrapText="1"/>
      <protection/>
    </xf>
    <xf numFmtId="0" fontId="80" fillId="0" borderId="27" xfId="33" applyFont="1" applyFill="1" applyBorder="1" applyAlignment="1">
      <alignment horizontal="center" vertical="top" wrapText="1"/>
      <protection/>
    </xf>
    <xf numFmtId="0" fontId="80" fillId="0" borderId="26" xfId="33" applyFont="1" applyFill="1" applyBorder="1" applyAlignment="1">
      <alignment horizontal="right" vertical="top" wrapText="1"/>
      <protection/>
    </xf>
    <xf numFmtId="0" fontId="82" fillId="0" borderId="26" xfId="33" applyFont="1" applyFill="1" applyBorder="1" applyAlignment="1">
      <alignment horizontal="center" vertical="top"/>
      <protection/>
    </xf>
    <xf numFmtId="0" fontId="82" fillId="0" borderId="27" xfId="33" applyFont="1" applyFill="1" applyBorder="1" applyAlignment="1">
      <alignment horizontal="center" vertical="top"/>
      <protection/>
    </xf>
    <xf numFmtId="0" fontId="83" fillId="0" borderId="27" xfId="33" applyFont="1" applyFill="1" applyBorder="1" applyAlignment="1">
      <alignment horizontal="left" vertical="top" wrapText="1" indent="4"/>
      <protection/>
    </xf>
    <xf numFmtId="0" fontId="82" fillId="0" borderId="26" xfId="33" applyFont="1" applyFill="1" applyBorder="1" applyAlignment="1">
      <alignment horizontal="right" vertical="top"/>
      <protection/>
    </xf>
    <xf numFmtId="0" fontId="84" fillId="14" borderId="0" xfId="33" applyFont="1" applyFill="1" applyBorder="1" applyAlignment="1">
      <alignment horizontal="center" vertical="top"/>
      <protection/>
    </xf>
    <xf numFmtId="0" fontId="80" fillId="8" borderId="26" xfId="33" applyFont="1" applyFill="1" applyBorder="1" applyAlignment="1">
      <alignment horizontal="center" vertical="top"/>
      <protection/>
    </xf>
    <xf numFmtId="0" fontId="80" fillId="8" borderId="27" xfId="33" applyFont="1" applyFill="1" applyBorder="1" applyAlignment="1">
      <alignment horizontal="center" vertical="top"/>
      <protection/>
    </xf>
    <xf numFmtId="0" fontId="81" fillId="8" borderId="27" xfId="33" applyFont="1" applyFill="1" applyBorder="1" applyAlignment="1">
      <alignment horizontal="left" vertical="top" wrapText="1" indent="2"/>
      <protection/>
    </xf>
    <xf numFmtId="0" fontId="80" fillId="8" borderId="26" xfId="33" applyFont="1" applyFill="1" applyBorder="1" applyAlignment="1">
      <alignment horizontal="right" vertical="top"/>
      <protection/>
    </xf>
    <xf numFmtId="0" fontId="10" fillId="8" borderId="2" xfId="33" applyFont="1" applyFill="1" applyBorder="1" applyAlignment="1" quotePrefix="1">
      <alignment horizontal="center" vertical="center"/>
      <protection/>
    </xf>
    <xf numFmtId="0" fontId="10" fillId="8" borderId="2" xfId="33" applyFont="1" applyFill="1" applyBorder="1" applyAlignment="1" quotePrefix="1">
      <alignment horizontal="center"/>
      <protection/>
    </xf>
    <xf numFmtId="0" fontId="83" fillId="15" borderId="27" xfId="33" applyFont="1" applyFill="1" applyBorder="1" applyAlignment="1">
      <alignment horizontal="left" vertical="top" wrapText="1" indent="4"/>
      <protection/>
    </xf>
    <xf numFmtId="0" fontId="82" fillId="15" borderId="26" xfId="33" applyFont="1" applyFill="1" applyBorder="1" applyAlignment="1">
      <alignment horizontal="right" vertical="top"/>
      <protection/>
    </xf>
    <xf numFmtId="0" fontId="1" fillId="0" borderId="0" xfId="35" applyFont="1" applyFill="1" applyBorder="1" applyAlignment="1">
      <alignment horizontal="center"/>
      <protection/>
    </xf>
    <xf numFmtId="0" fontId="6" fillId="0" borderId="0" xfId="35" applyFont="1" applyFill="1" applyBorder="1" applyAlignment="1">
      <alignment horizontal="center"/>
      <protection/>
    </xf>
    <xf numFmtId="0" fontId="85" fillId="15" borderId="27" xfId="33" applyFont="1" applyFill="1" applyBorder="1" applyAlignment="1">
      <alignment horizontal="left" vertical="top" wrapText="1" indent="4"/>
      <protection/>
    </xf>
    <xf numFmtId="0" fontId="85" fillId="15" borderId="26" xfId="33" applyFont="1" applyFill="1" applyBorder="1" applyAlignment="1">
      <alignment horizontal="right" vertical="top"/>
      <protection/>
    </xf>
    <xf numFmtId="15" fontId="86" fillId="0" borderId="26" xfId="33" applyNumberFormat="1" applyFont="1" applyFill="1" applyBorder="1" applyAlignment="1">
      <alignment horizontal="center" vertical="top"/>
      <protection/>
    </xf>
    <xf numFmtId="0" fontId="10" fillId="0" borderId="0" xfId="33" applyFont="1" applyFill="1" applyBorder="1" applyAlignment="1">
      <alignment horizontal="center"/>
      <protection/>
    </xf>
    <xf numFmtId="0" fontId="35" fillId="0" borderId="0" xfId="33" applyFont="1" applyFill="1" applyBorder="1" applyAlignment="1">
      <alignment horizontal="left"/>
      <protection/>
    </xf>
    <xf numFmtId="0" fontId="1" fillId="0" borderId="0" xfId="35" applyFill="1" applyBorder="1" applyAlignment="1">
      <alignment horizontal="center"/>
      <protection/>
    </xf>
    <xf numFmtId="0" fontId="89" fillId="0" borderId="27" xfId="33" applyFont="1" applyFill="1" applyBorder="1" applyAlignment="1">
      <alignment horizontal="left" vertical="top" wrapText="1" indent="4"/>
      <protection/>
    </xf>
    <xf numFmtId="0" fontId="10" fillId="8" borderId="2" xfId="33" applyFont="1" applyFill="1" applyBorder="1" applyAlignment="1">
      <alignment horizontal="center"/>
      <protection/>
    </xf>
    <xf numFmtId="0" fontId="2" fillId="0" borderId="21" xfId="33" applyFill="1" applyBorder="1" applyAlignment="1">
      <alignment horizontal="left"/>
      <protection/>
    </xf>
    <xf numFmtId="0" fontId="84" fillId="14" borderId="21" xfId="33" applyFont="1" applyFill="1" applyBorder="1" applyAlignment="1">
      <alignment horizontal="center" vertical="top"/>
      <protection/>
    </xf>
    <xf numFmtId="0" fontId="82" fillId="0" borderId="28" xfId="33" applyFont="1" applyFill="1" applyBorder="1" applyAlignment="1">
      <alignment horizontal="center" vertical="top"/>
      <protection/>
    </xf>
    <xf numFmtId="0" fontId="82" fillId="0" borderId="29" xfId="33" applyFont="1" applyFill="1" applyBorder="1" applyAlignment="1">
      <alignment horizontal="center" vertical="top"/>
      <protection/>
    </xf>
    <xf numFmtId="0" fontId="85" fillId="15" borderId="29" xfId="33" applyFont="1" applyFill="1" applyBorder="1" applyAlignment="1">
      <alignment horizontal="left" vertical="top" wrapText="1" indent="4"/>
      <protection/>
    </xf>
    <xf numFmtId="0" fontId="85" fillId="15" borderId="28" xfId="33" applyFont="1" applyFill="1" applyBorder="1" applyAlignment="1">
      <alignment horizontal="right" vertical="top"/>
      <protection/>
    </xf>
    <xf numFmtId="15" fontId="86" fillId="0" borderId="30" xfId="33" applyNumberFormat="1" applyFont="1" applyFill="1" applyBorder="1" applyAlignment="1">
      <alignment horizontal="center" vertical="top"/>
      <protection/>
    </xf>
    <xf numFmtId="15" fontId="86" fillId="0" borderId="27" xfId="33" applyNumberFormat="1" applyFont="1" applyFill="1" applyBorder="1" applyAlignment="1">
      <alignment horizontal="center" vertical="top"/>
      <protection/>
    </xf>
    <xf numFmtId="0" fontId="10" fillId="6" borderId="2" xfId="33" applyFont="1" applyFill="1" applyBorder="1" applyAlignment="1">
      <alignment horizontal="center"/>
      <protection/>
    </xf>
    <xf numFmtId="15" fontId="86" fillId="0" borderId="31" xfId="33" applyNumberFormat="1" applyFont="1" applyFill="1" applyBorder="1" applyAlignment="1">
      <alignment horizontal="center" vertical="top"/>
      <protection/>
    </xf>
    <xf numFmtId="15" fontId="86" fillId="0" borderId="0" xfId="33" applyNumberFormat="1" applyFont="1" applyFill="1" applyBorder="1" applyAlignment="1">
      <alignment horizontal="center" vertical="top"/>
      <protection/>
    </xf>
    <xf numFmtId="0" fontId="81" fillId="0" borderId="27" xfId="33" applyFont="1" applyFill="1" applyBorder="1" applyAlignment="1">
      <alignment horizontal="left" vertical="top" wrapText="1" indent="2"/>
      <protection/>
    </xf>
    <xf numFmtId="0" fontId="82" fillId="0" borderId="7" xfId="33" applyFont="1" applyFill="1" applyBorder="1" applyAlignment="1">
      <alignment horizontal="center" vertical="top"/>
      <protection/>
    </xf>
    <xf numFmtId="0" fontId="82" fillId="0" borderId="30" xfId="33" applyFont="1" applyFill="1" applyBorder="1" applyAlignment="1">
      <alignment horizontal="center" vertical="top"/>
      <protection/>
    </xf>
    <xf numFmtId="0" fontId="83" fillId="0" borderId="30" xfId="33" applyFont="1" applyFill="1" applyBorder="1" applyAlignment="1">
      <alignment horizontal="left" vertical="top" wrapText="1" indent="4"/>
      <protection/>
    </xf>
    <xf numFmtId="0" fontId="82" fillId="0" borderId="7" xfId="33" applyFont="1" applyFill="1" applyBorder="1" applyAlignment="1">
      <alignment horizontal="right" vertical="top"/>
      <protection/>
    </xf>
    <xf numFmtId="0" fontId="15" fillId="0" borderId="16" xfId="22" applyFont="1" applyFill="1" applyBorder="1" applyAlignment="1">
      <alignment horizontal="left" vertical="top"/>
      <protection/>
    </xf>
    <xf numFmtId="0" fontId="15" fillId="0" borderId="17" xfId="22" applyFont="1" applyFill="1" applyBorder="1" applyAlignment="1">
      <alignment horizontal="left" vertical="top"/>
      <protection/>
    </xf>
    <xf numFmtId="0" fontId="15" fillId="0" borderId="32" xfId="22" applyFont="1" applyFill="1" applyBorder="1" applyAlignment="1">
      <alignment horizontal="left" vertical="top"/>
      <protection/>
    </xf>
    <xf numFmtId="0" fontId="91" fillId="0" borderId="2" xfId="21" applyFont="1" applyFill="1" applyBorder="1" applyAlignment="1">
      <alignment horizontal="center" vertical="center"/>
      <protection/>
    </xf>
    <xf numFmtId="0" fontId="91" fillId="0" borderId="2" xfId="21" applyFont="1" applyFill="1" applyBorder="1" applyAlignment="1">
      <alignment vertical="center"/>
      <protection/>
    </xf>
    <xf numFmtId="3" fontId="92" fillId="0" borderId="2" xfId="21" applyNumberFormat="1" applyFont="1" applyBorder="1" applyAlignment="1">
      <alignment horizontal="center" vertical="center"/>
      <protection/>
    </xf>
    <xf numFmtId="0" fontId="93" fillId="2" borderId="2" xfId="0" applyFont="1" applyFill="1" applyBorder="1" applyAlignment="1">
      <alignment horizontal="center" vertical="center" wrapText="1"/>
    </xf>
    <xf numFmtId="0" fontId="94" fillId="0" borderId="2" xfId="0" applyFont="1" applyBorder="1" applyAlignment="1">
      <alignment horizontal="left" vertical="center" wrapText="1"/>
    </xf>
    <xf numFmtId="0" fontId="95" fillId="0" borderId="2" xfId="0" applyFont="1" applyFill="1" applyBorder="1" applyAlignment="1">
      <alignment vertical="center"/>
    </xf>
    <xf numFmtId="0" fontId="96" fillId="3" borderId="2" xfId="21" applyFont="1" applyFill="1" applyBorder="1" applyAlignment="1">
      <alignment horizontal="center" vertical="center"/>
      <protection/>
    </xf>
    <xf numFmtId="0" fontId="96" fillId="3" borderId="2" xfId="21" applyFont="1" applyFill="1" applyBorder="1" applyAlignment="1">
      <alignment horizontal="left" vertical="center" indent="2"/>
      <protection/>
    </xf>
    <xf numFmtId="3" fontId="97" fillId="3" borderId="2" xfId="21" applyNumberFormat="1" applyFont="1" applyFill="1" applyBorder="1" applyAlignment="1">
      <alignment horizontal="center" vertical="center"/>
      <protection/>
    </xf>
    <xf numFmtId="0" fontId="98" fillId="3" borderId="2" xfId="21" applyFont="1" applyFill="1" applyBorder="1" applyAlignment="1">
      <alignment horizontal="left" vertical="center" indent="2"/>
      <protection/>
    </xf>
    <xf numFmtId="0" fontId="96" fillId="3" borderId="2" xfId="0" applyFont="1" applyFill="1" applyBorder="1" applyAlignment="1">
      <alignment horizontal="left" vertical="center"/>
    </xf>
    <xf numFmtId="0" fontId="99" fillId="3" borderId="2" xfId="0" applyFont="1" applyFill="1" applyBorder="1" applyAlignment="1">
      <alignment vertical="center"/>
    </xf>
    <xf numFmtId="0" fontId="100" fillId="3" borderId="2" xfId="21" applyFont="1" applyFill="1" applyBorder="1" applyAlignment="1">
      <alignment horizontal="center" vertical="center"/>
      <protection/>
    </xf>
    <xf numFmtId="0" fontId="100" fillId="3" borderId="2" xfId="21" applyFont="1" applyFill="1" applyBorder="1" applyAlignment="1">
      <alignment horizontal="left" vertical="center" indent="2"/>
      <protection/>
    </xf>
    <xf numFmtId="0" fontId="101" fillId="3" borderId="2" xfId="21" applyFont="1" applyFill="1" applyBorder="1" applyAlignment="1">
      <alignment horizontal="left" vertical="center" indent="2"/>
      <protection/>
    </xf>
    <xf numFmtId="0" fontId="100" fillId="3" borderId="2" xfId="0" applyFont="1" applyFill="1" applyBorder="1" applyAlignment="1">
      <alignment vertical="center"/>
    </xf>
    <xf numFmtId="0" fontId="102" fillId="0" borderId="2" xfId="21" applyFont="1" applyFill="1" applyBorder="1" applyAlignment="1">
      <alignment horizontal="center" vertical="center"/>
      <protection/>
    </xf>
    <xf numFmtId="0" fontId="102" fillId="0" borderId="2" xfId="21" applyFont="1" applyFill="1" applyBorder="1" applyAlignment="1">
      <alignment vertical="center"/>
      <protection/>
    </xf>
    <xf numFmtId="0" fontId="103" fillId="0" borderId="2" xfId="21" applyFont="1" applyFill="1" applyBorder="1" applyAlignment="1">
      <alignment vertical="center"/>
      <protection/>
    </xf>
    <xf numFmtId="0" fontId="95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3" fontId="41" fillId="3" borderId="2" xfId="21" applyNumberFormat="1" applyFont="1" applyFill="1" applyBorder="1" applyAlignment="1">
      <alignment horizontal="center" vertical="center"/>
      <protection/>
    </xf>
    <xf numFmtId="3" fontId="41" fillId="0" borderId="2" xfId="21" applyNumberFormat="1" applyFont="1" applyFill="1" applyBorder="1" applyAlignment="1">
      <alignment horizontal="center" vertical="center"/>
      <protection/>
    </xf>
    <xf numFmtId="0" fontId="26" fillId="3" borderId="2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left" vertical="center" wrapText="1"/>
    </xf>
    <xf numFmtId="3" fontId="25" fillId="0" borderId="7" xfId="21" applyNumberFormat="1" applyFont="1" applyBorder="1" applyAlignment="1">
      <alignment horizontal="center" vertical="center"/>
      <protection/>
    </xf>
    <xf numFmtId="0" fontId="26" fillId="0" borderId="7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 wrapText="1"/>
    </xf>
    <xf numFmtId="0" fontId="37" fillId="0" borderId="7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left" vertical="center" wrapText="1"/>
    </xf>
    <xf numFmtId="3" fontId="25" fillId="0" borderId="33" xfId="21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36" fillId="0" borderId="33" xfId="21" applyFont="1" applyFill="1" applyBorder="1" applyAlignment="1">
      <alignment vertical="center"/>
      <protection/>
    </xf>
    <xf numFmtId="0" fontId="29" fillId="0" borderId="33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/>
    </xf>
    <xf numFmtId="0" fontId="35" fillId="0" borderId="33" xfId="0" applyFont="1" applyBorder="1" applyAlignment="1">
      <alignment horizontal="center" vertical="center" wrapText="1"/>
    </xf>
    <xf numFmtId="0" fontId="35" fillId="0" borderId="33" xfId="21" applyFont="1" applyFill="1" applyBorder="1" applyAlignment="1">
      <alignment vertical="center"/>
      <protection/>
    </xf>
    <xf numFmtId="0" fontId="40" fillId="0" borderId="33" xfId="0" applyFont="1" applyFill="1" applyBorder="1" applyAlignment="1">
      <alignment horizontal="center" vertical="center"/>
    </xf>
    <xf numFmtId="0" fontId="42" fillId="0" borderId="33" xfId="0" applyFont="1" applyBorder="1" applyAlignment="1">
      <alignment horizontal="left" vertical="center" wrapText="1"/>
    </xf>
    <xf numFmtId="0" fontId="27" fillId="0" borderId="7" xfId="21" applyFont="1" applyFill="1" applyBorder="1" applyAlignment="1">
      <alignment horizontal="center" vertical="center"/>
      <protection/>
    </xf>
    <xf numFmtId="0" fontId="27" fillId="0" borderId="7" xfId="21" applyFont="1" applyFill="1" applyBorder="1" applyAlignment="1">
      <alignment vertical="center"/>
      <protection/>
    </xf>
    <xf numFmtId="0" fontId="42" fillId="0" borderId="7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35" fillId="0" borderId="11" xfId="0" applyFont="1" applyBorder="1" applyAlignment="1">
      <alignment vertical="center"/>
    </xf>
    <xf numFmtId="0" fontId="45" fillId="16" borderId="2" xfId="0" applyFont="1" applyFill="1" applyBorder="1" applyAlignment="1">
      <alignment horizontal="center" vertical="center" wrapText="1"/>
    </xf>
    <xf numFmtId="0" fontId="45" fillId="16" borderId="2" xfId="0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3" fontId="41" fillId="0" borderId="7" xfId="21" applyNumberFormat="1" applyFont="1" applyBorder="1" applyAlignment="1">
      <alignment horizontal="center" vertical="center"/>
      <protection/>
    </xf>
    <xf numFmtId="0" fontId="29" fillId="0" borderId="7" xfId="0" applyFont="1" applyBorder="1" applyAlignment="1">
      <alignment horizontal="left" vertical="center" wrapText="1"/>
    </xf>
    <xf numFmtId="165" fontId="12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58" fillId="0" borderId="35" xfId="0" applyFont="1" applyFill="1" applyBorder="1" applyAlignment="1">
      <alignment vertical="center" wrapText="1"/>
    </xf>
    <xf numFmtId="165" fontId="105" fillId="0" borderId="0" xfId="0" applyNumberFormat="1" applyFont="1" applyAlignment="1">
      <alignment horizontal="center" vertical="center"/>
    </xf>
    <xf numFmtId="0" fontId="105" fillId="0" borderId="1" xfId="0" applyFont="1" applyFill="1" applyBorder="1" applyAlignment="1">
      <alignment horizontal="center" vertical="center" wrapText="1"/>
    </xf>
    <xf numFmtId="0" fontId="105" fillId="0" borderId="8" xfId="0" applyFont="1" applyFill="1" applyBorder="1" applyAlignment="1">
      <alignment horizontal="center" vertical="center" wrapText="1"/>
    </xf>
    <xf numFmtId="0" fontId="105" fillId="0" borderId="3" xfId="0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105" fillId="0" borderId="24" xfId="0" applyFont="1" applyBorder="1" applyAlignment="1">
      <alignment horizontal="center" vertical="center"/>
    </xf>
    <xf numFmtId="165" fontId="107" fillId="0" borderId="0" xfId="0" applyNumberFormat="1" applyFont="1" applyAlignment="1">
      <alignment horizontal="center" vertical="center"/>
    </xf>
    <xf numFmtId="0" fontId="107" fillId="0" borderId="3" xfId="0" applyFont="1" applyFill="1" applyBorder="1" applyAlignment="1">
      <alignment horizontal="center" vertical="center" wrapText="1"/>
    </xf>
    <xf numFmtId="0" fontId="107" fillId="0" borderId="1" xfId="0" applyFont="1" applyFill="1" applyBorder="1" applyAlignment="1">
      <alignment horizontal="center" vertical="center" wrapText="1"/>
    </xf>
    <xf numFmtId="0" fontId="107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65" fillId="0" borderId="8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14" fillId="0" borderId="8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9" fillId="7" borderId="17" xfId="0" applyFont="1" applyFill="1" applyBorder="1" applyAlignment="1">
      <alignment horizontal="center" vertical="center" wrapText="1"/>
    </xf>
    <xf numFmtId="0" fontId="61" fillId="7" borderId="17" xfId="0" applyFont="1" applyFill="1" applyBorder="1" applyAlignment="1">
      <alignment horizontal="left" vertical="center" wrapText="1"/>
    </xf>
    <xf numFmtId="0" fontId="62" fillId="7" borderId="17" xfId="0" applyFont="1" applyFill="1" applyBorder="1" applyAlignment="1">
      <alignment horizontal="left" vertical="center" wrapText="1"/>
    </xf>
    <xf numFmtId="0" fontId="109" fillId="7" borderId="17" xfId="0" applyNumberFormat="1" applyFont="1" applyFill="1" applyBorder="1" applyAlignment="1">
      <alignment horizontal="center" vertical="center" wrapText="1"/>
    </xf>
    <xf numFmtId="0" fontId="65" fillId="7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90" fillId="7" borderId="17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69" fillId="7" borderId="17" xfId="0" applyFont="1" applyFill="1" applyBorder="1" applyAlignment="1">
      <alignment horizontal="right" vertical="center" wrapText="1"/>
    </xf>
    <xf numFmtId="0" fontId="69" fillId="4" borderId="2" xfId="0" applyFont="1" applyFill="1" applyBorder="1" applyAlignment="1">
      <alignment horizontal="center" vertical="center"/>
    </xf>
    <xf numFmtId="166" fontId="63" fillId="0" borderId="0" xfId="20" applyFont="1" applyAlignment="1">
      <alignment vertical="center"/>
    </xf>
    <xf numFmtId="165" fontId="63" fillId="0" borderId="0" xfId="0" applyNumberFormat="1" applyFont="1" applyAlignment="1">
      <alignment vertical="center"/>
    </xf>
    <xf numFmtId="166" fontId="61" fillId="0" borderId="0" xfId="20" applyFont="1" applyAlignment="1">
      <alignment vertical="center"/>
    </xf>
    <xf numFmtId="0" fontId="111" fillId="0" borderId="0" xfId="0" applyFont="1" applyAlignment="1">
      <alignment horizontal="left" vertical="center"/>
    </xf>
    <xf numFmtId="0" fontId="10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9" fillId="4" borderId="7" xfId="0" applyFont="1" applyFill="1" applyBorder="1" applyAlignment="1">
      <alignment horizontal="center" vertical="center" wrapText="1"/>
    </xf>
    <xf numFmtId="166" fontId="58" fillId="0" borderId="3" xfId="20" applyFont="1" applyFill="1" applyBorder="1" applyAlignment="1">
      <alignment horizontal="right" vertical="center" wrapText="1"/>
    </xf>
    <xf numFmtId="0" fontId="112" fillId="0" borderId="3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61" fillId="0" borderId="3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0" fontId="69" fillId="4" borderId="2" xfId="0" applyFont="1" applyFill="1" applyBorder="1" applyAlignment="1">
      <alignment horizontal="center" vertical="center" wrapText="1"/>
    </xf>
    <xf numFmtId="166" fontId="58" fillId="0" borderId="1" xfId="20" applyFont="1" applyFill="1" applyBorder="1" applyAlignment="1">
      <alignment horizontal="right" vertical="center" wrapText="1"/>
    </xf>
    <xf numFmtId="0" fontId="112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1" fillId="0" borderId="1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 quotePrefix="1">
      <alignment horizontal="center" vertical="center" wrapText="1"/>
    </xf>
    <xf numFmtId="0" fontId="61" fillId="0" borderId="1" xfId="0" applyFont="1" applyFill="1" applyBorder="1" applyAlignment="1" quotePrefix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69" fillId="4" borderId="7" xfId="0" applyFont="1" applyFill="1" applyBorder="1" applyAlignment="1">
      <alignment horizontal="center" vertical="center"/>
    </xf>
    <xf numFmtId="166" fontId="58" fillId="0" borderId="0" xfId="20" applyFont="1" applyAlignment="1">
      <alignment vertical="center"/>
    </xf>
    <xf numFmtId="0" fontId="11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07" fillId="0" borderId="10" xfId="0" applyFont="1" applyFill="1" applyBorder="1" applyAlignment="1">
      <alignment horizontal="center" vertical="center" wrapText="1"/>
    </xf>
    <xf numFmtId="0" fontId="69" fillId="4" borderId="26" xfId="0" applyFont="1" applyFill="1" applyBorder="1" applyAlignment="1">
      <alignment horizontal="center" vertical="center" wrapText="1"/>
    </xf>
    <xf numFmtId="166" fontId="58" fillId="0" borderId="10" xfId="20" applyFont="1" applyFill="1" applyBorder="1" applyAlignment="1">
      <alignment horizontal="right" vertical="center" wrapText="1"/>
    </xf>
    <xf numFmtId="0" fontId="11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9" fillId="4" borderId="23" xfId="0" applyFont="1" applyFill="1" applyBorder="1" applyAlignment="1">
      <alignment horizontal="center" vertical="center" wrapText="1"/>
    </xf>
    <xf numFmtId="166" fontId="58" fillId="0" borderId="8" xfId="20" applyFont="1" applyFill="1" applyBorder="1" applyAlignment="1">
      <alignment horizontal="right" vertical="center" wrapText="1"/>
    </xf>
    <xf numFmtId="0" fontId="112" fillId="0" borderId="8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 quotePrefix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61" fillId="0" borderId="8" xfId="0" applyNumberFormat="1" applyFont="1" applyFill="1" applyBorder="1" applyAlignment="1">
      <alignment horizontal="center" vertical="center" wrapText="1"/>
    </xf>
    <xf numFmtId="0" fontId="107" fillId="0" borderId="8" xfId="0" applyFont="1" applyFill="1" applyBorder="1" applyAlignment="1">
      <alignment horizontal="center" vertical="center" wrapText="1"/>
    </xf>
    <xf numFmtId="0" fontId="71" fillId="0" borderId="8" xfId="0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 wrapText="1"/>
    </xf>
    <xf numFmtId="0" fontId="108" fillId="17" borderId="17" xfId="0" applyFont="1" applyFill="1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112" fillId="17" borderId="17" xfId="0" applyFont="1" applyFill="1" applyBorder="1" applyAlignment="1">
      <alignment horizontal="center" vertical="center" wrapText="1"/>
    </xf>
    <xf numFmtId="0" fontId="61" fillId="17" borderId="17" xfId="0" applyFont="1" applyFill="1" applyBorder="1" applyAlignment="1">
      <alignment horizontal="center" vertical="center" wrapText="1"/>
    </xf>
    <xf numFmtId="0" fontId="61" fillId="17" borderId="17" xfId="0" applyNumberFormat="1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vertical="center"/>
    </xf>
    <xf numFmtId="0" fontId="13" fillId="17" borderId="16" xfId="0" applyFont="1" applyFill="1" applyBorder="1" applyAlignment="1">
      <alignment vertical="center" wrapText="1"/>
    </xf>
    <xf numFmtId="0" fontId="13" fillId="17" borderId="17" xfId="0" applyFont="1" applyFill="1" applyBorder="1" applyAlignment="1">
      <alignment vertical="center" wrapText="1"/>
    </xf>
    <xf numFmtId="0" fontId="69" fillId="17" borderId="17" xfId="0" applyFont="1" applyFill="1" applyBorder="1" applyAlignment="1">
      <alignment vertical="center" wrapText="1"/>
    </xf>
    <xf numFmtId="166" fontId="69" fillId="17" borderId="17" xfId="20" applyFont="1" applyFill="1" applyBorder="1" applyAlignment="1">
      <alignment horizontal="right" vertical="center" wrapText="1"/>
    </xf>
    <xf numFmtId="0" fontId="61" fillId="17" borderId="17" xfId="0" applyFont="1" applyFill="1" applyBorder="1" applyAlignment="1">
      <alignment horizontal="left" vertical="center" wrapText="1"/>
    </xf>
    <xf numFmtId="0" fontId="113" fillId="17" borderId="17" xfId="0" applyFont="1" applyFill="1" applyBorder="1" applyAlignment="1">
      <alignment horizontal="center" vertical="center" wrapText="1"/>
    </xf>
    <xf numFmtId="0" fontId="62" fillId="17" borderId="17" xfId="0" applyFont="1" applyFill="1" applyBorder="1" applyAlignment="1">
      <alignment horizontal="left" vertical="center" wrapText="1"/>
    </xf>
    <xf numFmtId="0" fontId="3" fillId="17" borderId="17" xfId="0" applyFont="1" applyFill="1" applyBorder="1" applyAlignment="1">
      <alignment vertical="center" wrapText="1"/>
    </xf>
    <xf numFmtId="0" fontId="108" fillId="17" borderId="17" xfId="0" applyNumberFormat="1" applyFont="1" applyFill="1" applyBorder="1" applyAlignment="1">
      <alignment horizontal="center" vertical="center" wrapText="1"/>
    </xf>
    <xf numFmtId="0" fontId="69" fillId="17" borderId="17" xfId="0" applyFont="1" applyFill="1" applyBorder="1" applyAlignment="1">
      <alignment horizontal="center" vertical="center" wrapText="1"/>
    </xf>
    <xf numFmtId="0" fontId="61" fillId="17" borderId="17" xfId="0" applyFont="1" applyFill="1" applyBorder="1" applyAlignment="1" quotePrefix="1">
      <alignment horizontal="center" vertical="center" wrapText="1"/>
    </xf>
    <xf numFmtId="0" fontId="62" fillId="17" borderId="17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left" vertical="center" wrapText="1"/>
    </xf>
    <xf numFmtId="0" fontId="69" fillId="7" borderId="17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69" fillId="17" borderId="17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6" fillId="0" borderId="8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9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5" fillId="9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  <xf numFmtId="0" fontId="5" fillId="1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0" fontId="66" fillId="7" borderId="17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7" borderId="17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Border="1" applyAlignment="1" quotePrefix="1">
      <alignment horizontal="center" vertical="center" wrapText="1"/>
    </xf>
    <xf numFmtId="0" fontId="3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9" fillId="9" borderId="16" xfId="0" applyFont="1" applyFill="1" applyBorder="1" applyAlignment="1">
      <alignment horizontal="center" vertical="center"/>
    </xf>
    <xf numFmtId="0" fontId="106" fillId="9" borderId="17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67" fillId="9" borderId="17" xfId="0" applyFont="1" applyFill="1" applyBorder="1" applyAlignment="1">
      <alignment horizontal="center" vertical="center"/>
    </xf>
    <xf numFmtId="0" fontId="67" fillId="9" borderId="17" xfId="0" applyFont="1" applyFill="1" applyBorder="1" applyAlignment="1">
      <alignment horizontal="left" vertical="center"/>
    </xf>
    <xf numFmtId="0" fontId="19" fillId="9" borderId="17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center" vertical="center" wrapText="1"/>
    </xf>
    <xf numFmtId="0" fontId="90" fillId="7" borderId="17" xfId="0" applyNumberFormat="1" applyFont="1" applyFill="1" applyBorder="1" applyAlignment="1">
      <alignment horizontal="center" vertical="center" wrapText="1"/>
    </xf>
    <xf numFmtId="0" fontId="90" fillId="6" borderId="13" xfId="0" applyFont="1" applyFill="1" applyBorder="1" applyAlignment="1">
      <alignment horizontal="center" vertical="center" wrapText="1"/>
    </xf>
    <xf numFmtId="0" fontId="90" fillId="6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8" borderId="1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61" fillId="5" borderId="2" xfId="0" applyFont="1" applyFill="1" applyBorder="1" applyAlignment="1">
      <alignment horizontal="center" vertical="center"/>
    </xf>
    <xf numFmtId="166" fontId="5" fillId="5" borderId="2" xfId="20" applyFont="1" applyFill="1" applyBorder="1" applyAlignment="1">
      <alignment horizontal="center" vertical="center"/>
    </xf>
    <xf numFmtId="166" fontId="19" fillId="5" borderId="2" xfId="20" applyFont="1" applyFill="1" applyBorder="1" applyAlignment="1">
      <alignment horizontal="center" vertical="center"/>
    </xf>
    <xf numFmtId="0" fontId="67" fillId="5" borderId="2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left" vertical="center"/>
    </xf>
    <xf numFmtId="0" fontId="69" fillId="4" borderId="2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08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69" fillId="5" borderId="2" xfId="0" applyFont="1" applyFill="1" applyBorder="1" applyAlignment="1">
      <alignment horizontal="center" vertical="center"/>
    </xf>
    <xf numFmtId="166" fontId="69" fillId="5" borderId="2" xfId="20" applyFont="1" applyFill="1" applyBorder="1" applyAlignment="1">
      <alignment horizontal="center" vertical="center"/>
    </xf>
    <xf numFmtId="0" fontId="112" fillId="5" borderId="2" xfId="0" applyFont="1" applyFill="1" applyBorder="1" applyAlignment="1">
      <alignment horizontal="center" vertical="center"/>
    </xf>
    <xf numFmtId="0" fontId="109" fillId="5" borderId="2" xfId="0" applyFont="1" applyFill="1" applyBorder="1" applyAlignment="1">
      <alignment horizontal="center" vertical="center"/>
    </xf>
    <xf numFmtId="0" fontId="113" fillId="5" borderId="2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left" vertical="center"/>
    </xf>
    <xf numFmtId="3" fontId="63" fillId="0" borderId="40" xfId="0" applyNumberFormat="1" applyFont="1" applyBorder="1" applyAlignment="1">
      <alignment vertical="center"/>
    </xf>
    <xf numFmtId="0" fontId="106" fillId="5" borderId="2" xfId="0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58" fillId="0" borderId="3" xfId="0" applyFont="1" applyFill="1" applyBorder="1" applyAlignment="1" quotePrefix="1">
      <alignment horizontal="center" vertical="center" wrapText="1"/>
    </xf>
    <xf numFmtId="0" fontId="58" fillId="10" borderId="1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6" borderId="13" xfId="0" applyFont="1" applyFill="1" applyBorder="1" applyAlignment="1">
      <alignment horizontal="left" vertical="center" wrapText="1"/>
    </xf>
    <xf numFmtId="0" fontId="62" fillId="5" borderId="4" xfId="0" applyFont="1" applyFill="1" applyBorder="1" applyAlignment="1">
      <alignment horizontal="left" vertical="center"/>
    </xf>
    <xf numFmtId="0" fontId="62" fillId="6" borderId="15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8" borderId="1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Alignment="1" quotePrefix="1">
      <alignment horizontal="center" vertical="center"/>
    </xf>
    <xf numFmtId="0" fontId="58" fillId="0" borderId="6" xfId="0" applyFont="1" applyFill="1" applyBorder="1" applyAlignment="1">
      <alignment vertical="center" wrapText="1"/>
    </xf>
    <xf numFmtId="0" fontId="58" fillId="0" borderId="5" xfId="0" applyFont="1" applyFill="1" applyBorder="1" applyAlignment="1">
      <alignment vertical="center" wrapText="1"/>
    </xf>
    <xf numFmtId="0" fontId="58" fillId="0" borderId="5" xfId="0" applyFont="1" applyBorder="1" applyAlignment="1">
      <alignment vertical="center"/>
    </xf>
    <xf numFmtId="0" fontId="58" fillId="0" borderId="36" xfId="0" applyFont="1" applyFill="1" applyBorder="1" applyAlignment="1">
      <alignment vertical="center" wrapText="1"/>
    </xf>
    <xf numFmtId="0" fontId="58" fillId="0" borderId="22" xfId="0" applyFont="1" applyFill="1" applyBorder="1" applyAlignment="1">
      <alignment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5" xfId="0" applyFont="1" applyFill="1" applyBorder="1" applyAlignment="1">
      <alignment vertical="center" wrapText="1"/>
    </xf>
    <xf numFmtId="0" fontId="57" fillId="0" borderId="5" xfId="0" applyFont="1" applyFill="1" applyBorder="1" applyAlignment="1">
      <alignment vertical="center" wrapText="1"/>
    </xf>
    <xf numFmtId="0" fontId="59" fillId="0" borderId="36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6" fontId="5" fillId="0" borderId="23" xfId="20" applyFont="1" applyBorder="1" applyAlignment="1">
      <alignment vertical="center"/>
    </xf>
    <xf numFmtId="166" fontId="19" fillId="9" borderId="2" xfId="20" applyFont="1" applyFill="1" applyBorder="1" applyAlignment="1">
      <alignment horizontal="center" vertical="center"/>
    </xf>
    <xf numFmtId="166" fontId="0" fillId="0" borderId="43" xfId="20" applyFont="1" applyFill="1" applyBorder="1" applyAlignment="1">
      <alignment horizontal="right" vertical="center" wrapText="1"/>
    </xf>
    <xf numFmtId="166" fontId="0" fillId="0" borderId="44" xfId="20" applyFont="1" applyFill="1" applyBorder="1" applyAlignment="1">
      <alignment horizontal="right" vertical="center" wrapText="1"/>
    </xf>
    <xf numFmtId="166" fontId="0" fillId="0" borderId="44" xfId="20" applyFont="1" applyBorder="1" applyAlignment="1">
      <alignment vertical="center"/>
    </xf>
    <xf numFmtId="166" fontId="0" fillId="0" borderId="45" xfId="20" applyFont="1" applyFill="1" applyBorder="1" applyAlignment="1">
      <alignment horizontal="right" vertical="center" wrapText="1"/>
    </xf>
    <xf numFmtId="166" fontId="0" fillId="0" borderId="26" xfId="20" applyFont="1" applyFill="1" applyBorder="1" applyAlignment="1">
      <alignment horizontal="right" vertical="center" wrapText="1"/>
    </xf>
    <xf numFmtId="166" fontId="3" fillId="7" borderId="2" xfId="20" applyFont="1" applyFill="1" applyBorder="1" applyAlignment="1">
      <alignment horizontal="right" vertical="center" wrapText="1"/>
    </xf>
    <xf numFmtId="166" fontId="1" fillId="0" borderId="43" xfId="20" applyFont="1" applyFill="1" applyBorder="1" applyAlignment="1">
      <alignment horizontal="right" vertical="center" wrapText="1"/>
    </xf>
    <xf numFmtId="166" fontId="1" fillId="0" borderId="44" xfId="20" applyFont="1" applyFill="1" applyBorder="1" applyAlignment="1">
      <alignment horizontal="right" vertical="center" wrapText="1"/>
    </xf>
    <xf numFmtId="166" fontId="6" fillId="0" borderId="44" xfId="20" applyFont="1" applyFill="1" applyBorder="1" applyAlignment="1">
      <alignment horizontal="right" vertical="center" wrapText="1"/>
    </xf>
    <xf numFmtId="166" fontId="1" fillId="0" borderId="45" xfId="20" applyFont="1" applyFill="1" applyBorder="1" applyAlignment="1">
      <alignment horizontal="right" vertical="center" wrapText="1"/>
    </xf>
    <xf numFmtId="166" fontId="5" fillId="7" borderId="2" xfId="20" applyFont="1" applyFill="1" applyBorder="1" applyAlignment="1">
      <alignment horizontal="right" vertical="center" wrapText="1"/>
    </xf>
    <xf numFmtId="166" fontId="0" fillId="0" borderId="26" xfId="20" applyFont="1" applyBorder="1" applyAlignment="1">
      <alignment vertical="center"/>
    </xf>
    <xf numFmtId="166" fontId="5" fillId="0" borderId="25" xfId="20" applyFont="1" applyBorder="1" applyAlignment="1">
      <alignment vertical="center"/>
    </xf>
    <xf numFmtId="0" fontId="71" fillId="0" borderId="6" xfId="0" applyFont="1" applyFill="1" applyBorder="1" applyAlignment="1">
      <alignment horizontal="left" vertical="center" wrapText="1"/>
    </xf>
    <xf numFmtId="0" fontId="71" fillId="0" borderId="5" xfId="0" applyFont="1" applyFill="1" applyBorder="1" applyAlignment="1">
      <alignment horizontal="left" vertical="center" wrapText="1"/>
    </xf>
    <xf numFmtId="0" fontId="71" fillId="0" borderId="36" xfId="0" applyFont="1" applyFill="1" applyBorder="1" applyAlignment="1">
      <alignment horizontal="left" vertical="center" wrapText="1"/>
    </xf>
    <xf numFmtId="0" fontId="71" fillId="0" borderId="22" xfId="0" applyFont="1" applyFill="1" applyBorder="1" applyAlignment="1">
      <alignment horizontal="left" vertical="center" wrapText="1"/>
    </xf>
    <xf numFmtId="0" fontId="58" fillId="0" borderId="23" xfId="0" applyFont="1" applyBorder="1" applyAlignment="1">
      <alignment vertical="center"/>
    </xf>
    <xf numFmtId="0" fontId="19" fillId="9" borderId="2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vertical="center" wrapText="1"/>
    </xf>
    <xf numFmtId="0" fontId="69" fillId="7" borderId="2" xfId="0" applyFont="1" applyFill="1" applyBorder="1" applyAlignment="1">
      <alignment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 quotePrefix="1">
      <alignment horizontal="center" vertical="center" wrapText="1"/>
    </xf>
    <xf numFmtId="0" fontId="58" fillId="0" borderId="44" xfId="0" applyFont="1" applyFill="1" applyBorder="1" applyAlignment="1">
      <alignment vertical="center" wrapText="1"/>
    </xf>
    <xf numFmtId="0" fontId="59" fillId="0" borderId="44" xfId="0" applyFont="1" applyFill="1" applyBorder="1" applyAlignment="1">
      <alignment vertical="center" wrapText="1"/>
    </xf>
    <xf numFmtId="0" fontId="69" fillId="7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 quotePrefix="1">
      <alignment horizontal="center" vertical="center" wrapText="1"/>
    </xf>
    <xf numFmtId="0" fontId="58" fillId="0" borderId="26" xfId="0" applyFont="1" applyFill="1" applyBorder="1" applyAlignment="1" quotePrefix="1">
      <alignment horizontal="center" vertical="center" wrapText="1"/>
    </xf>
    <xf numFmtId="0" fontId="61" fillId="7" borderId="2" xfId="0" applyFont="1" applyFill="1" applyBorder="1" applyAlignment="1">
      <alignment vertical="center" wrapText="1"/>
    </xf>
    <xf numFmtId="0" fontId="58" fillId="0" borderId="26" xfId="0" applyFont="1" applyBorder="1" applyAlignment="1">
      <alignment vertical="center"/>
    </xf>
    <xf numFmtId="0" fontId="58" fillId="0" borderId="25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19" fillId="5" borderId="46" xfId="0" applyFont="1" applyFill="1" applyBorder="1" applyAlignment="1">
      <alignment horizontal="left" vertical="center"/>
    </xf>
    <xf numFmtId="0" fontId="19" fillId="9" borderId="2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110" fillId="7" borderId="16" xfId="0" applyFont="1" applyFill="1" applyBorder="1" applyAlignment="1">
      <alignment horizontal="left" vertical="center" wrapText="1"/>
    </xf>
    <xf numFmtId="0" fontId="3" fillId="7" borderId="30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/>
    </xf>
    <xf numFmtId="0" fontId="13" fillId="18" borderId="30" xfId="0" applyFont="1" applyFill="1" applyBorder="1" applyAlignment="1">
      <alignment vertical="center" wrapText="1"/>
    </xf>
    <xf numFmtId="0" fontId="109" fillId="18" borderId="21" xfId="0" applyFont="1" applyFill="1" applyBorder="1" applyAlignment="1">
      <alignment horizontal="center" vertical="center" wrapText="1"/>
    </xf>
    <xf numFmtId="0" fontId="13" fillId="18" borderId="21" xfId="0" applyFont="1" applyFill="1" applyBorder="1" applyAlignment="1">
      <alignment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69" fillId="18" borderId="21" xfId="0" applyFont="1" applyFill="1" applyBorder="1" applyAlignment="1">
      <alignment vertical="center" wrapText="1"/>
    </xf>
    <xf numFmtId="0" fontId="61" fillId="18" borderId="21" xfId="0" applyFont="1" applyFill="1" applyBorder="1" applyAlignment="1">
      <alignment horizontal="left" vertical="center" wrapText="1"/>
    </xf>
    <xf numFmtId="166" fontId="3" fillId="18" borderId="7" xfId="20" applyFont="1" applyFill="1" applyBorder="1" applyAlignment="1">
      <alignment horizontal="right" vertical="center" wrapText="1"/>
    </xf>
    <xf numFmtId="0" fontId="7" fillId="18" borderId="21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90" fillId="18" borderId="21" xfId="0" applyFont="1" applyFill="1" applyBorder="1" applyAlignment="1">
      <alignment horizontal="center" vertical="center" wrapText="1"/>
    </xf>
    <xf numFmtId="0" fontId="62" fillId="18" borderId="21" xfId="0" applyFont="1" applyFill="1" applyBorder="1" applyAlignment="1">
      <alignment horizontal="left" vertical="center" wrapText="1"/>
    </xf>
    <xf numFmtId="0" fontId="3" fillId="18" borderId="7" xfId="0" applyFont="1" applyFill="1" applyBorder="1" applyAlignment="1">
      <alignment vertical="center" wrapText="1"/>
    </xf>
    <xf numFmtId="0" fontId="3" fillId="18" borderId="21" xfId="0" applyFont="1" applyFill="1" applyBorder="1" applyAlignment="1">
      <alignment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16" xfId="0" applyFont="1" applyFill="1" applyBorder="1" applyAlignment="1">
      <alignment horizontal="center" vertical="center"/>
    </xf>
    <xf numFmtId="166" fontId="19" fillId="15" borderId="2" xfId="20" applyFont="1" applyFill="1" applyBorder="1" applyAlignment="1">
      <alignment horizontal="center" vertical="center"/>
    </xf>
    <xf numFmtId="0" fontId="19" fillId="15" borderId="32" xfId="0" applyFont="1" applyFill="1" applyBorder="1" applyAlignment="1">
      <alignment horizontal="center" vertical="center"/>
    </xf>
    <xf numFmtId="0" fontId="67" fillId="15" borderId="2" xfId="0" applyFont="1" applyFill="1" applyBorder="1" applyAlignment="1">
      <alignment horizontal="center" vertical="center"/>
    </xf>
    <xf numFmtId="0" fontId="67" fillId="15" borderId="16" xfId="0" applyFont="1" applyFill="1" applyBorder="1" applyAlignment="1">
      <alignment horizontal="left" vertical="center"/>
    </xf>
    <xf numFmtId="0" fontId="19" fillId="7" borderId="2" xfId="0" applyFont="1" applyFill="1" applyBorder="1" applyAlignment="1">
      <alignment horizontal="left" vertical="center"/>
    </xf>
    <xf numFmtId="0" fontId="48" fillId="0" borderId="26" xfId="23" applyFont="1" applyFill="1" applyBorder="1" applyAlignment="1">
      <alignment horizontal="center" vertical="center" wrapText="1"/>
      <protection/>
    </xf>
    <xf numFmtId="0" fontId="10" fillId="7" borderId="2" xfId="23" applyFont="1" applyFill="1" applyBorder="1" applyAlignment="1" quotePrefix="1">
      <alignment horizontal="center" vertical="center"/>
      <protection/>
    </xf>
    <xf numFmtId="0" fontId="10" fillId="7" borderId="2" xfId="23" applyFont="1" applyFill="1" applyBorder="1" applyAlignment="1">
      <alignment horizontal="center" vertical="center"/>
      <protection/>
    </xf>
    <xf numFmtId="0" fontId="50" fillId="7" borderId="16" xfId="23" applyFont="1" applyFill="1" applyBorder="1" applyAlignment="1">
      <alignment horizontal="left" vertical="center" wrapText="1"/>
      <protection/>
    </xf>
    <xf numFmtId="0" fontId="49" fillId="7" borderId="2" xfId="23" applyFont="1" applyFill="1" applyBorder="1" applyAlignment="1">
      <alignment horizontal="right" vertical="center"/>
      <protection/>
    </xf>
    <xf numFmtId="0" fontId="49" fillId="7" borderId="2" xfId="23" applyFont="1" applyFill="1" applyBorder="1" applyAlignment="1">
      <alignment horizontal="center" vertical="center"/>
      <protection/>
    </xf>
    <xf numFmtId="0" fontId="49" fillId="7" borderId="16" xfId="23" applyFont="1" applyFill="1" applyBorder="1" applyAlignment="1">
      <alignment horizontal="center" vertical="center"/>
      <protection/>
    </xf>
    <xf numFmtId="0" fontId="51" fillId="7" borderId="2" xfId="23" applyFont="1" applyFill="1" applyBorder="1" applyAlignment="1">
      <alignment horizontal="right" vertical="center"/>
      <protection/>
    </xf>
    <xf numFmtId="0" fontId="51" fillId="7" borderId="2" xfId="23" applyFont="1" applyFill="1" applyBorder="1" applyAlignment="1">
      <alignment horizontal="center" vertical="center"/>
      <protection/>
    </xf>
    <xf numFmtId="0" fontId="51" fillId="7" borderId="16" xfId="23" applyFont="1" applyFill="1" applyBorder="1" applyAlignment="1">
      <alignment horizontal="center" vertical="center"/>
      <protection/>
    </xf>
    <xf numFmtId="0" fontId="2" fillId="7" borderId="16" xfId="23" applyFill="1" applyBorder="1" applyAlignment="1">
      <alignment horizontal="center" vertical="center"/>
      <protection/>
    </xf>
    <xf numFmtId="0" fontId="2" fillId="7" borderId="2" xfId="23" applyFill="1" applyBorder="1" applyAlignment="1">
      <alignment horizontal="center"/>
      <protection/>
    </xf>
    <xf numFmtId="0" fontId="10" fillId="7" borderId="2" xfId="23" applyFont="1" applyFill="1" applyBorder="1" applyAlignment="1">
      <alignment horizontal="left"/>
      <protection/>
    </xf>
    <xf numFmtId="0" fontId="2" fillId="7" borderId="2" xfId="23" applyFill="1" applyBorder="1">
      <alignment/>
      <protection/>
    </xf>
    <xf numFmtId="0" fontId="46" fillId="7" borderId="16" xfId="23" applyFont="1" applyFill="1" applyBorder="1" applyAlignment="1">
      <alignment horizontal="center" vertical="center"/>
      <protection/>
    </xf>
    <xf numFmtId="0" fontId="44" fillId="7" borderId="2" xfId="23" applyFont="1" applyFill="1" applyBorder="1" applyAlignment="1" quotePrefix="1">
      <alignment horizontal="center" vertical="center"/>
      <protection/>
    </xf>
    <xf numFmtId="0" fontId="44" fillId="7" borderId="2" xfId="23" applyFont="1" applyFill="1" applyBorder="1" applyAlignment="1">
      <alignment horizontal="center" vertical="center"/>
      <protection/>
    </xf>
    <xf numFmtId="0" fontId="53" fillId="7" borderId="2" xfId="23" applyFont="1" applyFill="1" applyBorder="1" applyAlignment="1">
      <alignment horizontal="left" vertical="center" wrapText="1"/>
      <protection/>
    </xf>
    <xf numFmtId="0" fontId="53" fillId="7" borderId="2" xfId="23" applyFont="1" applyFill="1" applyBorder="1" applyAlignment="1">
      <alignment horizontal="right" vertical="center"/>
      <protection/>
    </xf>
    <xf numFmtId="0" fontId="53" fillId="7" borderId="2" xfId="23" applyFont="1" applyFill="1" applyBorder="1" applyAlignment="1">
      <alignment horizontal="center" vertical="center"/>
      <protection/>
    </xf>
    <xf numFmtId="0" fontId="46" fillId="7" borderId="2" xfId="23" applyFont="1" applyFill="1" applyBorder="1" applyAlignment="1">
      <alignment horizontal="center" vertical="center"/>
      <protection/>
    </xf>
    <xf numFmtId="0" fontId="10" fillId="7" borderId="16" xfId="23" applyNumberFormat="1" applyFont="1" applyFill="1" applyBorder="1" applyAlignment="1" quotePrefix="1">
      <alignment horizontal="center" vertical="center"/>
      <protection/>
    </xf>
    <xf numFmtId="0" fontId="10" fillId="7" borderId="32" xfId="23" applyFont="1" applyFill="1" applyBorder="1" applyAlignment="1" quotePrefix="1">
      <alignment horizontal="center" vertical="center"/>
      <protection/>
    </xf>
    <xf numFmtId="0" fontId="50" fillId="7" borderId="2" xfId="23" applyFont="1" applyFill="1" applyBorder="1" applyAlignment="1">
      <alignment horizontal="left" vertical="center" wrapText="1"/>
      <protection/>
    </xf>
    <xf numFmtId="0" fontId="47" fillId="7" borderId="2" xfId="23" applyFont="1" applyFill="1" applyBorder="1" applyAlignment="1">
      <alignment horizontal="left" vertical="center" wrapText="1"/>
      <protection/>
    </xf>
    <xf numFmtId="0" fontId="51" fillId="7" borderId="26" xfId="23" applyFont="1" applyFill="1" applyBorder="1" applyAlignment="1">
      <alignment horizontal="center" vertical="center"/>
      <protection/>
    </xf>
    <xf numFmtId="0" fontId="51" fillId="7" borderId="27" xfId="23" applyFont="1" applyFill="1" applyBorder="1" applyAlignment="1">
      <alignment horizontal="center" vertical="center"/>
      <protection/>
    </xf>
    <xf numFmtId="0" fontId="55" fillId="7" borderId="2" xfId="23" applyFont="1" applyFill="1" applyBorder="1" applyAlignment="1">
      <alignment horizontal="left" vertical="center" wrapText="1"/>
      <protection/>
    </xf>
    <xf numFmtId="0" fontId="55" fillId="7" borderId="16" xfId="23" applyFont="1" applyFill="1" applyBorder="1" applyAlignment="1">
      <alignment horizontal="left" vertical="center" wrapText="1"/>
      <protection/>
    </xf>
    <xf numFmtId="0" fontId="46" fillId="9" borderId="16" xfId="23" applyFont="1" applyFill="1" applyBorder="1" applyAlignment="1">
      <alignment horizontal="center" vertical="center"/>
      <protection/>
    </xf>
    <xf numFmtId="0" fontId="44" fillId="9" borderId="2" xfId="23" applyFont="1" applyFill="1" applyBorder="1" applyAlignment="1" quotePrefix="1">
      <alignment horizontal="center" vertical="center"/>
      <protection/>
    </xf>
    <xf numFmtId="0" fontId="44" fillId="9" borderId="2" xfId="23" applyFont="1" applyFill="1" applyBorder="1" applyAlignment="1">
      <alignment horizontal="center" vertical="center"/>
      <protection/>
    </xf>
    <xf numFmtId="0" fontId="53" fillId="9" borderId="2" xfId="23" applyFont="1" applyFill="1" applyBorder="1" applyAlignment="1">
      <alignment horizontal="left" vertical="center" wrapText="1"/>
      <protection/>
    </xf>
    <xf numFmtId="0" fontId="53" fillId="9" borderId="2" xfId="23" applyFont="1" applyFill="1" applyBorder="1" applyAlignment="1">
      <alignment horizontal="right" vertical="center"/>
      <protection/>
    </xf>
    <xf numFmtId="0" fontId="53" fillId="9" borderId="2" xfId="23" applyFont="1" applyFill="1" applyBorder="1" applyAlignment="1">
      <alignment horizontal="center" vertical="center"/>
      <protection/>
    </xf>
    <xf numFmtId="0" fontId="46" fillId="10" borderId="16" xfId="23" applyFont="1" applyFill="1" applyBorder="1" applyAlignment="1">
      <alignment horizontal="center" vertical="center"/>
      <protection/>
    </xf>
    <xf numFmtId="0" fontId="44" fillId="10" borderId="2" xfId="23" applyFont="1" applyFill="1" applyBorder="1" applyAlignment="1" quotePrefix="1">
      <alignment horizontal="center" vertical="center"/>
      <protection/>
    </xf>
    <xf numFmtId="0" fontId="44" fillId="10" borderId="2" xfId="23" applyFont="1" applyFill="1" applyBorder="1" applyAlignment="1">
      <alignment horizontal="center" vertical="center"/>
      <protection/>
    </xf>
    <xf numFmtId="0" fontId="53" fillId="10" borderId="2" xfId="23" applyFont="1" applyFill="1" applyBorder="1" applyAlignment="1">
      <alignment horizontal="left" vertical="center" wrapText="1"/>
      <protection/>
    </xf>
    <xf numFmtId="0" fontId="53" fillId="10" borderId="2" xfId="23" applyFont="1" applyFill="1" applyBorder="1" applyAlignment="1">
      <alignment horizontal="right" vertical="center"/>
      <protection/>
    </xf>
    <xf numFmtId="0" fontId="53" fillId="10" borderId="2" xfId="23" applyFont="1" applyFill="1" applyBorder="1" applyAlignment="1">
      <alignment horizontal="center" vertical="center"/>
      <protection/>
    </xf>
    <xf numFmtId="0" fontId="44" fillId="0" borderId="17" xfId="23" applyFont="1" applyFill="1" applyBorder="1" applyAlignment="1">
      <alignment horizontal="center" vertical="center"/>
      <protection/>
    </xf>
    <xf numFmtId="0" fontId="44" fillId="0" borderId="16" xfId="23" applyFont="1" applyFill="1" applyBorder="1" applyAlignment="1">
      <alignment horizontal="center" vertical="center"/>
      <protection/>
    </xf>
    <xf numFmtId="0" fontId="115" fillId="0" borderId="27" xfId="23" applyFont="1" applyFill="1" applyBorder="1" applyAlignment="1">
      <alignment horizontal="left" vertical="center"/>
      <protection/>
    </xf>
    <xf numFmtId="0" fontId="53" fillId="0" borderId="16" xfId="23" applyFont="1" applyFill="1" applyBorder="1" applyAlignment="1">
      <alignment horizontal="left" vertical="center" wrapText="1"/>
      <protection/>
    </xf>
    <xf numFmtId="0" fontId="53" fillId="0" borderId="2" xfId="23" applyFont="1" applyFill="1" applyBorder="1" applyAlignment="1">
      <alignment horizontal="center" vertical="center"/>
      <protection/>
    </xf>
    <xf numFmtId="0" fontId="10" fillId="17" borderId="2" xfId="33" applyFont="1" applyFill="1" applyBorder="1" applyAlignment="1" quotePrefix="1">
      <alignment horizontal="center" vertical="center"/>
      <protection/>
    </xf>
    <xf numFmtId="0" fontId="10" fillId="17" borderId="2" xfId="33" applyFont="1" applyFill="1" applyBorder="1" applyAlignment="1" quotePrefix="1">
      <alignment horizontal="center"/>
      <protection/>
    </xf>
    <xf numFmtId="0" fontId="81" fillId="17" borderId="2" xfId="33" applyFont="1" applyFill="1" applyBorder="1" applyAlignment="1">
      <alignment horizontal="left" vertical="top" wrapText="1" indent="2"/>
      <protection/>
    </xf>
    <xf numFmtId="0" fontId="80" fillId="17" borderId="2" xfId="33" applyFont="1" applyFill="1" applyBorder="1" applyAlignment="1">
      <alignment horizontal="right" vertical="top"/>
      <protection/>
    </xf>
    <xf numFmtId="0" fontId="10" fillId="17" borderId="2" xfId="33" applyFont="1" applyFill="1" applyBorder="1" applyAlignment="1">
      <alignment horizontal="center"/>
      <protection/>
    </xf>
    <xf numFmtId="0" fontId="80" fillId="17" borderId="2" xfId="33" applyFont="1" applyFill="1" applyBorder="1" applyAlignment="1">
      <alignment horizontal="right" vertical="top" wrapText="1"/>
      <protection/>
    </xf>
    <xf numFmtId="0" fontId="10" fillId="0" borderId="2" xfId="33" applyFont="1" applyFill="1" applyBorder="1" applyAlignment="1">
      <alignment horizontal="center"/>
      <protection/>
    </xf>
    <xf numFmtId="0" fontId="48" fillId="0" borderId="2" xfId="33" applyFont="1" applyFill="1" applyBorder="1" applyAlignment="1">
      <alignment horizontal="center" vertical="top" wrapText="1"/>
      <protection/>
    </xf>
    <xf numFmtId="0" fontId="80" fillId="17" borderId="2" xfId="33" applyFont="1" applyFill="1" applyBorder="1" applyAlignment="1">
      <alignment horizontal="center" vertical="top"/>
      <protection/>
    </xf>
    <xf numFmtId="0" fontId="80" fillId="17" borderId="2" xfId="33" applyFont="1" applyFill="1" applyBorder="1" applyAlignment="1">
      <alignment horizontal="center" vertical="top" wrapText="1"/>
      <protection/>
    </xf>
    <xf numFmtId="0" fontId="115" fillId="0" borderId="2" xfId="33" applyFont="1" applyFill="1" applyBorder="1" applyAlignment="1">
      <alignment horizontal="left" vertical="center"/>
      <protection/>
    </xf>
    <xf numFmtId="0" fontId="12" fillId="0" borderId="5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3" fontId="0" fillId="0" borderId="52" xfId="20" applyNumberFormat="1" applyFont="1" applyFill="1" applyBorder="1" applyAlignment="1">
      <alignment horizontal="center" vertical="center" wrapText="1"/>
    </xf>
    <xf numFmtId="3" fontId="0" fillId="0" borderId="10" xfId="20" applyNumberFormat="1" applyFont="1" applyFill="1" applyBorder="1" applyAlignment="1">
      <alignment horizontal="center" vertical="center" wrapText="1"/>
    </xf>
    <xf numFmtId="3" fontId="0" fillId="0" borderId="15" xfId="2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0" fillId="0" borderId="0" xfId="20" applyNumberFormat="1" applyFont="1" applyBorder="1" applyAlignment="1">
      <alignment horizontal="center" vertical="center"/>
    </xf>
    <xf numFmtId="3" fontId="0" fillId="0" borderId="0" xfId="20" applyNumberFormat="1" applyFont="1" applyAlignment="1">
      <alignment horizontal="center" vertical="center"/>
    </xf>
    <xf numFmtId="3" fontId="0" fillId="0" borderId="21" xfId="20" applyNumberFormat="1" applyFont="1" applyBorder="1" applyAlignment="1">
      <alignment horizontal="center" vertical="center"/>
    </xf>
    <xf numFmtId="3" fontId="0" fillId="0" borderId="53" xfId="20" applyNumberFormat="1" applyFont="1" applyFill="1" applyBorder="1" applyAlignment="1">
      <alignment horizontal="center" vertical="center" wrapText="1"/>
    </xf>
    <xf numFmtId="3" fontId="0" fillId="0" borderId="0" xfId="20" applyNumberFormat="1" applyFont="1" applyFill="1" applyBorder="1" applyAlignment="1">
      <alignment horizontal="center" vertical="center" wrapText="1"/>
    </xf>
    <xf numFmtId="3" fontId="0" fillId="0" borderId="21" xfId="20" applyNumberFormat="1" applyFont="1" applyFill="1" applyBorder="1" applyAlignment="1">
      <alignment horizontal="center" vertical="center" wrapText="1"/>
    </xf>
    <xf numFmtId="3" fontId="0" fillId="0" borderId="53" xfId="20" applyNumberFormat="1" applyFont="1" applyBorder="1" applyAlignment="1">
      <alignment horizontal="center" vertical="center" wrapText="1"/>
    </xf>
    <xf numFmtId="3" fontId="0" fillId="0" borderId="0" xfId="20" applyNumberFormat="1" applyFont="1" applyAlignment="1">
      <alignment horizontal="center" vertical="center" wrapText="1"/>
    </xf>
    <xf numFmtId="3" fontId="0" fillId="0" borderId="21" xfId="20" applyNumberFormat="1" applyFont="1" applyBorder="1" applyAlignment="1">
      <alignment horizontal="center" vertical="center" wrapText="1"/>
    </xf>
    <xf numFmtId="3" fontId="0" fillId="0" borderId="53" xfId="2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vertical="center" wrapText="1"/>
    </xf>
    <xf numFmtId="0" fontId="3" fillId="8" borderId="55" xfId="0" applyFont="1" applyFill="1" applyBorder="1" applyAlignment="1">
      <alignment vertical="center" wrapText="1"/>
    </xf>
    <xf numFmtId="3" fontId="0" fillId="0" borderId="52" xfId="20" applyNumberFormat="1" applyFont="1" applyBorder="1" applyAlignment="1">
      <alignment horizontal="center" vertical="center"/>
    </xf>
    <xf numFmtId="3" fontId="0" fillId="0" borderId="10" xfId="20" applyNumberFormat="1" applyFont="1" applyBorder="1" applyAlignment="1">
      <alignment horizontal="center" vertical="center"/>
    </xf>
    <xf numFmtId="3" fontId="0" fillId="0" borderId="15" xfId="20" applyNumberFormat="1" applyFont="1" applyBorder="1" applyAlignment="1">
      <alignment horizontal="center" vertical="center"/>
    </xf>
    <xf numFmtId="3" fontId="1" fillId="0" borderId="53" xfId="20" applyNumberFormat="1" applyFont="1" applyFill="1" applyBorder="1" applyAlignment="1">
      <alignment horizontal="center" vertical="center" wrapText="1"/>
    </xf>
    <xf numFmtId="3" fontId="1" fillId="0" borderId="0" xfId="20" applyNumberFormat="1" applyFont="1" applyFill="1" applyBorder="1" applyAlignment="1">
      <alignment horizontal="center" vertical="center" wrapText="1"/>
    </xf>
    <xf numFmtId="3" fontId="1" fillId="0" borderId="21" xfId="20" applyNumberFormat="1" applyFont="1" applyFill="1" applyBorder="1" applyAlignment="1">
      <alignment horizontal="center" vertical="center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Normale 2" xfId="21"/>
    <cellStyle name="Normale 2 2" xfId="22"/>
    <cellStyle name="Normale 3" xfId="23"/>
    <cellStyle name="Migliaia 2" xfId="24"/>
    <cellStyle name="Euro" xfId="25"/>
    <cellStyle name="Grafico" xfId="26"/>
    <cellStyle name="Migliaia [0] 2" xfId="27"/>
    <cellStyle name="Normal_SHEET" xfId="28"/>
    <cellStyle name="Normale 4" xfId="29"/>
    <cellStyle name="Normale 5" xfId="30"/>
    <cellStyle name="Normale 6" xfId="31"/>
    <cellStyle name="Percentuale" xfId="32"/>
    <cellStyle name="Normale 7" xfId="33"/>
    <cellStyle name="Migliaia 3" xfId="34"/>
    <cellStyle name="Normale 3 2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019"/>
  <sheetViews>
    <sheetView tabSelected="1" zoomScale="90" zoomScaleNormal="90" workbookViewId="0" topLeftCell="D1">
      <selection activeCell="S4" sqref="S4"/>
    </sheetView>
  </sheetViews>
  <sheetFormatPr defaultColWidth="9.140625" defaultRowHeight="12.75" outlineLevelRow="2"/>
  <cols>
    <col min="1" max="1" width="9.7109375" style="257" customWidth="1"/>
    <col min="2" max="2" width="11.421875" style="405" customWidth="1"/>
    <col min="3" max="3" width="16.7109375" style="257" customWidth="1"/>
    <col min="4" max="4" width="5.57421875" style="147" customWidth="1"/>
    <col min="5" max="5" width="7.8515625" style="79" customWidth="1"/>
    <col min="6" max="6" width="6.7109375" style="80" customWidth="1"/>
    <col min="7" max="7" width="49.421875" style="125" customWidth="1"/>
    <col min="8" max="8" width="46.00390625" style="125" customWidth="1"/>
    <col min="9" max="9" width="14.28125" style="611" customWidth="1"/>
    <col min="10" max="10" width="6.28125" style="82" customWidth="1"/>
    <col min="11" max="11" width="4.57421875" style="83" customWidth="1"/>
    <col min="12" max="12" width="5.00390625" style="83" customWidth="1"/>
    <col min="13" max="13" width="6.00390625" style="83" customWidth="1"/>
    <col min="14" max="14" width="30.28125" style="127" customWidth="1"/>
    <col min="15" max="15" width="7.28125" style="130" customWidth="1"/>
    <col min="16" max="16" width="32.140625" style="166" customWidth="1"/>
    <col min="17" max="17" width="16.00390625" style="634" customWidth="1"/>
    <col min="18" max="18" width="19.7109375" style="636" hidden="1" customWidth="1"/>
    <col min="19" max="16384" width="9.140625" style="2" customWidth="1"/>
  </cols>
  <sheetData>
    <row r="1" spans="1:17" ht="20.25" customHeight="1">
      <c r="A1" s="392"/>
      <c r="B1" s="399"/>
      <c r="F1" s="258"/>
      <c r="G1" s="564">
        <f>17520368+86100</f>
        <v>17606468</v>
      </c>
      <c r="H1" s="269">
        <f>I1-G1</f>
        <v>0</v>
      </c>
      <c r="I1" s="598">
        <f>SUBTOTAL(9,I4:I1012)</f>
        <v>17606468</v>
      </c>
      <c r="Q1" s="617"/>
    </row>
    <row r="2" spans="1:18" s="205" customFormat="1" ht="17.25" customHeight="1">
      <c r="A2" s="547" t="s">
        <v>0</v>
      </c>
      <c r="B2" s="565" t="s">
        <v>1529</v>
      </c>
      <c r="C2" s="547" t="s">
        <v>1</v>
      </c>
      <c r="D2" s="676" t="s">
        <v>1554</v>
      </c>
      <c r="E2" s="676" t="s">
        <v>1072</v>
      </c>
      <c r="F2" s="682" t="s">
        <v>1071</v>
      </c>
      <c r="G2" s="676" t="s">
        <v>1551</v>
      </c>
      <c r="H2" s="677" t="s">
        <v>1077</v>
      </c>
      <c r="I2" s="678" t="s">
        <v>1075</v>
      </c>
      <c r="J2" s="679" t="s">
        <v>1555</v>
      </c>
      <c r="K2" s="676" t="s">
        <v>3</v>
      </c>
      <c r="L2" s="676" t="s">
        <v>4</v>
      </c>
      <c r="M2" s="676" t="s">
        <v>1076</v>
      </c>
      <c r="N2" s="676" t="s">
        <v>1552</v>
      </c>
      <c r="O2" s="680" t="s">
        <v>1553</v>
      </c>
      <c r="P2" s="681" t="s">
        <v>1115</v>
      </c>
      <c r="Q2" s="676" t="s">
        <v>1556</v>
      </c>
      <c r="R2" s="637" t="s">
        <v>1851</v>
      </c>
    </row>
    <row r="3" spans="1:18" s="205" customFormat="1" ht="19.5" customHeight="1">
      <c r="A3" s="535"/>
      <c r="B3" s="536"/>
      <c r="C3" s="537"/>
      <c r="D3" s="537"/>
      <c r="E3" s="537"/>
      <c r="F3" s="540"/>
      <c r="G3" s="537" t="str">
        <f>C4</f>
        <v>SETTORE RICERCA AGRARIA</v>
      </c>
      <c r="H3" s="537"/>
      <c r="I3" s="599"/>
      <c r="J3" s="537"/>
      <c r="K3" s="537"/>
      <c r="L3" s="537"/>
      <c r="M3" s="537"/>
      <c r="N3" s="537"/>
      <c r="O3" s="538"/>
      <c r="P3" s="539"/>
      <c r="Q3" s="618"/>
      <c r="R3" s="638"/>
    </row>
    <row r="4" spans="1:18" ht="28.5" customHeight="1" outlineLevel="2">
      <c r="A4" s="94" t="s">
        <v>588</v>
      </c>
      <c r="B4" s="402" t="s">
        <v>1857</v>
      </c>
      <c r="C4" s="94" t="s">
        <v>894</v>
      </c>
      <c r="D4" s="149" t="s">
        <v>7</v>
      </c>
      <c r="E4" s="101">
        <v>2018</v>
      </c>
      <c r="F4" s="102">
        <v>35</v>
      </c>
      <c r="G4" s="121" t="s">
        <v>895</v>
      </c>
      <c r="H4" s="580" t="s">
        <v>1056</v>
      </c>
      <c r="I4" s="600">
        <f>2000+500</f>
        <v>2500</v>
      </c>
      <c r="J4" s="594" t="s">
        <v>9</v>
      </c>
      <c r="K4" s="99">
        <v>1</v>
      </c>
      <c r="L4" s="99">
        <v>3</v>
      </c>
      <c r="M4" s="113">
        <v>32</v>
      </c>
      <c r="N4" s="128" t="str">
        <f>VLOOKUP(M4,'PF Uscite Sp. Corr.'!$C$1:$E$100,2,FALSE)</f>
        <v>Altri beni di consumo</v>
      </c>
      <c r="O4" s="132">
        <v>1101</v>
      </c>
      <c r="P4" s="613" t="str">
        <f>VLOOKUP(O4,'Centri di Costo'!$A$2:$B$179,2,FALSE)</f>
        <v>Ricerca Agraria - Att. Istituzionale</v>
      </c>
      <c r="Q4" s="619" t="s">
        <v>1996</v>
      </c>
      <c r="R4" s="639" t="s">
        <v>324</v>
      </c>
    </row>
    <row r="5" spans="1:18" ht="28.5" customHeight="1" outlineLevel="2">
      <c r="A5" s="85" t="s">
        <v>588</v>
      </c>
      <c r="B5" s="400" t="s">
        <v>1857</v>
      </c>
      <c r="C5" s="85" t="s">
        <v>894</v>
      </c>
      <c r="D5" s="508" t="s">
        <v>561</v>
      </c>
      <c r="E5" s="87">
        <v>2018</v>
      </c>
      <c r="F5" s="88">
        <v>211</v>
      </c>
      <c r="G5" s="120" t="s">
        <v>1048</v>
      </c>
      <c r="H5" s="581" t="s">
        <v>1324</v>
      </c>
      <c r="I5" s="601">
        <v>2000</v>
      </c>
      <c r="J5" s="595" t="s">
        <v>9</v>
      </c>
      <c r="K5" s="91">
        <v>1</v>
      </c>
      <c r="L5" s="91">
        <v>3</v>
      </c>
      <c r="M5" s="91">
        <v>32</v>
      </c>
      <c r="N5" s="119" t="str">
        <f>VLOOKUP(M5,'PF Uscite Sp. Corr.'!$C$1:$E$100,2,FALSE)</f>
        <v>Altri beni di consumo</v>
      </c>
      <c r="O5" s="131">
        <v>1101</v>
      </c>
      <c r="P5" s="614" t="str">
        <f>VLOOKUP(O5,'Centri di Costo'!$A$2:$B$179,2,FALSE)</f>
        <v>Ricerca Agraria - Att. Istituzionale</v>
      </c>
      <c r="Q5" s="619" t="s">
        <v>1996</v>
      </c>
      <c r="R5" s="640" t="s">
        <v>25</v>
      </c>
    </row>
    <row r="6" spans="1:18" ht="53.25" customHeight="1" outlineLevel="2">
      <c r="A6" s="85" t="s">
        <v>588</v>
      </c>
      <c r="B6" s="400" t="s">
        <v>1857</v>
      </c>
      <c r="C6" s="85" t="s">
        <v>894</v>
      </c>
      <c r="D6" s="508" t="s">
        <v>561</v>
      </c>
      <c r="E6" s="87">
        <v>2018</v>
      </c>
      <c r="F6" s="88">
        <v>280</v>
      </c>
      <c r="G6" s="120" t="s">
        <v>1049</v>
      </c>
      <c r="H6" s="581" t="s">
        <v>1329</v>
      </c>
      <c r="I6" s="601">
        <v>2700</v>
      </c>
      <c r="J6" s="595" t="s">
        <v>9</v>
      </c>
      <c r="K6" s="91">
        <v>1</v>
      </c>
      <c r="L6" s="91">
        <v>3</v>
      </c>
      <c r="M6" s="91">
        <v>32</v>
      </c>
      <c r="N6" s="119" t="str">
        <f>VLOOKUP(M6,'PF Uscite Sp. Corr.'!$C$1:$E$100,2,FALSE)</f>
        <v>Altri beni di consumo</v>
      </c>
      <c r="O6" s="131">
        <v>1101</v>
      </c>
      <c r="P6" s="614" t="str">
        <f>VLOOKUP(O6,'Centri di Costo'!$A$2:$B$179,2,FALSE)</f>
        <v>Ricerca Agraria - Att. Istituzionale</v>
      </c>
      <c r="Q6" s="619" t="s">
        <v>1996</v>
      </c>
      <c r="R6" s="640" t="s">
        <v>25</v>
      </c>
    </row>
    <row r="7" spans="1:18" ht="53.25" customHeight="1" outlineLevel="2">
      <c r="A7" s="85" t="s">
        <v>588</v>
      </c>
      <c r="B7" s="400" t="s">
        <v>1857</v>
      </c>
      <c r="C7" s="85" t="s">
        <v>894</v>
      </c>
      <c r="D7" s="508" t="s">
        <v>561</v>
      </c>
      <c r="E7" s="87">
        <v>2018</v>
      </c>
      <c r="F7" s="88">
        <v>280</v>
      </c>
      <c r="G7" s="120" t="s">
        <v>1049</v>
      </c>
      <c r="H7" s="581" t="s">
        <v>1327</v>
      </c>
      <c r="I7" s="601">
        <v>10000</v>
      </c>
      <c r="J7" s="595" t="s">
        <v>9</v>
      </c>
      <c r="K7" s="91">
        <v>1</v>
      </c>
      <c r="L7" s="91">
        <v>3</v>
      </c>
      <c r="M7" s="91">
        <v>47</v>
      </c>
      <c r="N7" s="119" t="str">
        <f>VLOOKUP(M7,'PF Uscite Sp. Corr.'!$C$1:$E$100,2,FALSE)</f>
        <v>Utilizzo di beni di terzi</v>
      </c>
      <c r="O7" s="131">
        <v>1101</v>
      </c>
      <c r="P7" s="614" t="str">
        <f>VLOOKUP(O7,'Centri di Costo'!$A$2:$B$179,2,FALSE)</f>
        <v>Ricerca Agraria - Att. Istituzionale</v>
      </c>
      <c r="Q7" s="619" t="s">
        <v>1996</v>
      </c>
      <c r="R7" s="640" t="s">
        <v>25</v>
      </c>
    </row>
    <row r="8" spans="1:18" ht="53.25" customHeight="1" outlineLevel="2">
      <c r="A8" s="85" t="s">
        <v>588</v>
      </c>
      <c r="B8" s="400" t="s">
        <v>1857</v>
      </c>
      <c r="C8" s="85" t="s">
        <v>894</v>
      </c>
      <c r="D8" s="508" t="s">
        <v>561</v>
      </c>
      <c r="E8" s="87">
        <v>2018</v>
      </c>
      <c r="F8" s="88">
        <v>280</v>
      </c>
      <c r="G8" s="120" t="s">
        <v>1049</v>
      </c>
      <c r="H8" s="582" t="s">
        <v>1330</v>
      </c>
      <c r="I8" s="602">
        <v>5000</v>
      </c>
      <c r="J8" s="595" t="s">
        <v>9</v>
      </c>
      <c r="K8" s="91">
        <v>1</v>
      </c>
      <c r="L8" s="91">
        <v>3</v>
      </c>
      <c r="M8" s="509">
        <v>49</v>
      </c>
      <c r="N8" s="119" t="str">
        <f>VLOOKUP(M8,'PF Uscite Sp. Corr.'!$C$1:$E$100,2,FALSE)</f>
        <v>Manutenzione ordinaria e riparazioni</v>
      </c>
      <c r="O8" s="131">
        <v>1101</v>
      </c>
      <c r="P8" s="614" t="str">
        <f>VLOOKUP(O8,'Centri di Costo'!$A$2:$B$179,2,FALSE)</f>
        <v>Ricerca Agraria - Att. Istituzionale</v>
      </c>
      <c r="Q8" s="619" t="s">
        <v>1996</v>
      </c>
      <c r="R8" s="641"/>
    </row>
    <row r="9" spans="1:18" s="112" customFormat="1" ht="28.5" customHeight="1" outlineLevel="2">
      <c r="A9" s="85" t="s">
        <v>588</v>
      </c>
      <c r="B9" s="400" t="s">
        <v>1857</v>
      </c>
      <c r="C9" s="85" t="s">
        <v>894</v>
      </c>
      <c r="D9" s="148" t="s">
        <v>7</v>
      </c>
      <c r="E9" s="87">
        <v>2018</v>
      </c>
      <c r="F9" s="88">
        <v>35</v>
      </c>
      <c r="G9" s="120" t="s">
        <v>895</v>
      </c>
      <c r="H9" s="581" t="s">
        <v>1057</v>
      </c>
      <c r="I9" s="601">
        <v>2000</v>
      </c>
      <c r="J9" s="595" t="s">
        <v>9</v>
      </c>
      <c r="K9" s="91">
        <v>1</v>
      </c>
      <c r="L9" s="91">
        <v>3</v>
      </c>
      <c r="M9" s="92">
        <v>51</v>
      </c>
      <c r="N9" s="119" t="str">
        <f>VLOOKUP(M9,'PF Uscite Sp. Corr.'!$C$1:$E$100,2,FALSE)</f>
        <v>Prestazioni professionali e specialistiche</v>
      </c>
      <c r="O9" s="131">
        <v>1101</v>
      </c>
      <c r="P9" s="614" t="str">
        <f>VLOOKUP(O9,'Centri di Costo'!$A$2:$B$179,2,FALSE)</f>
        <v>Ricerca Agraria - Att. Istituzionale</v>
      </c>
      <c r="Q9" s="619" t="s">
        <v>1996</v>
      </c>
      <c r="R9" s="642" t="s">
        <v>84</v>
      </c>
    </row>
    <row r="10" spans="1:18" s="112" customFormat="1" ht="28.5" customHeight="1" outlineLevel="2">
      <c r="A10" s="85" t="s">
        <v>588</v>
      </c>
      <c r="B10" s="400" t="s">
        <v>1857</v>
      </c>
      <c r="C10" s="85" t="s">
        <v>894</v>
      </c>
      <c r="D10" s="148" t="s">
        <v>7</v>
      </c>
      <c r="E10" s="87">
        <v>2018</v>
      </c>
      <c r="F10" s="88">
        <v>35</v>
      </c>
      <c r="G10" s="120" t="s">
        <v>895</v>
      </c>
      <c r="H10" s="581" t="s">
        <v>1055</v>
      </c>
      <c r="I10" s="601">
        <v>5000</v>
      </c>
      <c r="J10" s="595" t="s">
        <v>9</v>
      </c>
      <c r="K10" s="91">
        <v>1</v>
      </c>
      <c r="L10" s="91">
        <v>3</v>
      </c>
      <c r="M10" s="92">
        <v>51</v>
      </c>
      <c r="N10" s="119" t="str">
        <f>VLOOKUP(M10,'PF Uscite Sp. Corr.'!$C$1:$E$100,2,FALSE)</f>
        <v>Prestazioni professionali e specialistiche</v>
      </c>
      <c r="O10" s="131">
        <v>1101</v>
      </c>
      <c r="P10" s="614" t="str">
        <f>VLOOKUP(O10,'Centri di Costo'!$A$2:$B$179,2,FALSE)</f>
        <v>Ricerca Agraria - Att. Istituzionale</v>
      </c>
      <c r="Q10" s="619" t="s">
        <v>1996</v>
      </c>
      <c r="R10" s="642" t="s">
        <v>592</v>
      </c>
    </row>
    <row r="11" spans="1:18" ht="38.25" customHeight="1" outlineLevel="2">
      <c r="A11" s="85" t="s">
        <v>588</v>
      </c>
      <c r="B11" s="400" t="s">
        <v>1857</v>
      </c>
      <c r="C11" s="85" t="s">
        <v>894</v>
      </c>
      <c r="D11" s="148" t="s">
        <v>7</v>
      </c>
      <c r="E11" s="87">
        <v>2018</v>
      </c>
      <c r="F11" s="88">
        <v>268</v>
      </c>
      <c r="G11" s="120" t="s">
        <v>899</v>
      </c>
      <c r="H11" s="581" t="s">
        <v>1052</v>
      </c>
      <c r="I11" s="601">
        <v>8500</v>
      </c>
      <c r="J11" s="595" t="s">
        <v>9</v>
      </c>
      <c r="K11" s="91">
        <v>1</v>
      </c>
      <c r="L11" s="91">
        <v>3</v>
      </c>
      <c r="M11" s="92">
        <v>51</v>
      </c>
      <c r="N11" s="119" t="str">
        <f>VLOOKUP(M11,'PF Uscite Sp. Corr.'!$C$1:$E$100,2,FALSE)</f>
        <v>Prestazioni professionali e specialistiche</v>
      </c>
      <c r="O11" s="131">
        <v>1101</v>
      </c>
      <c r="P11" s="614" t="str">
        <f>VLOOKUP(O11,'Centri di Costo'!$A$2:$B$179,2,FALSE)</f>
        <v>Ricerca Agraria - Att. Istituzionale</v>
      </c>
      <c r="Q11" s="619" t="s">
        <v>1996</v>
      </c>
      <c r="R11" s="642" t="s">
        <v>767</v>
      </c>
    </row>
    <row r="12" spans="1:18" ht="28.5" customHeight="1" outlineLevel="2">
      <c r="A12" s="85" t="s">
        <v>588</v>
      </c>
      <c r="B12" s="400" t="s">
        <v>1857</v>
      </c>
      <c r="C12" s="85" t="s">
        <v>894</v>
      </c>
      <c r="D12" s="508" t="s">
        <v>561</v>
      </c>
      <c r="E12" s="87">
        <v>2018</v>
      </c>
      <c r="F12" s="88">
        <v>211</v>
      </c>
      <c r="G12" s="120" t="s">
        <v>1048</v>
      </c>
      <c r="H12" s="581" t="s">
        <v>1326</v>
      </c>
      <c r="I12" s="601">
        <v>3000</v>
      </c>
      <c r="J12" s="595" t="s">
        <v>9</v>
      </c>
      <c r="K12" s="91">
        <v>1</v>
      </c>
      <c r="L12" s="91">
        <v>3</v>
      </c>
      <c r="M12" s="91">
        <v>51</v>
      </c>
      <c r="N12" s="119" t="str">
        <f>VLOOKUP(M12,'PF Uscite Sp. Corr.'!$C$1:$E$100,2,FALSE)</f>
        <v>Prestazioni professionali e specialistiche</v>
      </c>
      <c r="O12" s="131">
        <v>1101</v>
      </c>
      <c r="P12" s="614" t="str">
        <f>VLOOKUP(O12,'Centri di Costo'!$A$2:$B$179,2,FALSE)</f>
        <v>Ricerca Agraria - Att. Istituzionale</v>
      </c>
      <c r="Q12" s="619" t="s">
        <v>1996</v>
      </c>
      <c r="R12" s="640"/>
    </row>
    <row r="13" spans="1:18" ht="28.5" customHeight="1" outlineLevel="2">
      <c r="A13" s="85" t="s">
        <v>588</v>
      </c>
      <c r="B13" s="400" t="s">
        <v>1857</v>
      </c>
      <c r="C13" s="85" t="s">
        <v>894</v>
      </c>
      <c r="D13" s="148" t="s">
        <v>7</v>
      </c>
      <c r="E13" s="87">
        <v>2018</v>
      </c>
      <c r="F13" s="88">
        <v>35</v>
      </c>
      <c r="G13" s="120" t="s">
        <v>895</v>
      </c>
      <c r="H13" s="581" t="s">
        <v>1109</v>
      </c>
      <c r="I13" s="601">
        <f>1000-500</f>
        <v>500</v>
      </c>
      <c r="J13" s="595" t="s">
        <v>9</v>
      </c>
      <c r="K13" s="91">
        <v>1</v>
      </c>
      <c r="L13" s="91">
        <v>3</v>
      </c>
      <c r="M13" s="91">
        <v>53</v>
      </c>
      <c r="N13" s="119" t="str">
        <f>VLOOKUP(M13,'PF Uscite Sp. Corr.'!$C$1:$E$100,2,FALSE)</f>
        <v>Servizi ausiliari per il funzionamento dell'ente</v>
      </c>
      <c r="O13" s="131">
        <v>1101</v>
      </c>
      <c r="P13" s="614" t="str">
        <f>VLOOKUP(O13,'Centri di Costo'!$A$2:$B$179,2,FALSE)</f>
        <v>Ricerca Agraria - Att. Istituzionale</v>
      </c>
      <c r="Q13" s="619" t="s">
        <v>1996</v>
      </c>
      <c r="R13" s="642"/>
    </row>
    <row r="14" spans="1:18" ht="39" customHeight="1" outlineLevel="2">
      <c r="A14" s="85" t="s">
        <v>588</v>
      </c>
      <c r="B14" s="400" t="s">
        <v>1857</v>
      </c>
      <c r="C14" s="85" t="s">
        <v>894</v>
      </c>
      <c r="D14" s="148" t="s">
        <v>7</v>
      </c>
      <c r="E14" s="87">
        <v>2018</v>
      </c>
      <c r="F14" s="88">
        <v>104</v>
      </c>
      <c r="G14" s="120" t="s">
        <v>897</v>
      </c>
      <c r="H14" s="581" t="s">
        <v>898</v>
      </c>
      <c r="I14" s="601">
        <v>1000</v>
      </c>
      <c r="J14" s="595" t="s">
        <v>9</v>
      </c>
      <c r="K14" s="91">
        <v>1</v>
      </c>
      <c r="L14" s="91">
        <v>3</v>
      </c>
      <c r="M14" s="92">
        <v>53</v>
      </c>
      <c r="N14" s="119" t="str">
        <f>VLOOKUP(M14,'PF Uscite Sp. Corr.'!$C$1:$E$100,2,FALSE)</f>
        <v>Servizi ausiliari per il funzionamento dell'ente</v>
      </c>
      <c r="O14" s="131">
        <v>1101</v>
      </c>
      <c r="P14" s="614" t="str">
        <f>VLOOKUP(O14,'Centri di Costo'!$A$2:$B$179,2,FALSE)</f>
        <v>Ricerca Agraria - Att. Istituzionale</v>
      </c>
      <c r="Q14" s="619" t="s">
        <v>1996</v>
      </c>
      <c r="R14" s="642" t="s">
        <v>454</v>
      </c>
    </row>
    <row r="15" spans="1:18" ht="28.5" customHeight="1" outlineLevel="2">
      <c r="A15" s="85" t="s">
        <v>588</v>
      </c>
      <c r="B15" s="400" t="s">
        <v>1857</v>
      </c>
      <c r="C15" s="85" t="s">
        <v>894</v>
      </c>
      <c r="D15" s="508" t="s">
        <v>561</v>
      </c>
      <c r="E15" s="87">
        <v>2018</v>
      </c>
      <c r="F15" s="88">
        <v>211</v>
      </c>
      <c r="G15" s="120" t="s">
        <v>1048</v>
      </c>
      <c r="H15" s="581" t="s">
        <v>1323</v>
      </c>
      <c r="I15" s="601">
        <f>12000-3000</f>
        <v>9000</v>
      </c>
      <c r="J15" s="595" t="s">
        <v>9</v>
      </c>
      <c r="K15" s="91">
        <v>1</v>
      </c>
      <c r="L15" s="91">
        <v>3</v>
      </c>
      <c r="M15" s="92">
        <v>53</v>
      </c>
      <c r="N15" s="119" t="str">
        <f>VLOOKUP(M15,'PF Uscite Sp. Corr.'!$C$1:$E$100,2,FALSE)</f>
        <v>Servizi ausiliari per il funzionamento dell'ente</v>
      </c>
      <c r="O15" s="131">
        <v>1101</v>
      </c>
      <c r="P15" s="614" t="str">
        <f>VLOOKUP(O15,'Centri di Costo'!$A$2:$B$179,2,FALSE)</f>
        <v>Ricerca Agraria - Att. Istituzionale</v>
      </c>
      <c r="Q15" s="619" t="s">
        <v>1996</v>
      </c>
      <c r="R15" s="640" t="s">
        <v>454</v>
      </c>
    </row>
    <row r="16" spans="1:18" ht="28.5" customHeight="1" outlineLevel="2">
      <c r="A16" s="85" t="s">
        <v>588</v>
      </c>
      <c r="B16" s="400" t="s">
        <v>1857</v>
      </c>
      <c r="C16" s="85" t="s">
        <v>894</v>
      </c>
      <c r="D16" s="508" t="s">
        <v>561</v>
      </c>
      <c r="E16" s="87">
        <v>2018</v>
      </c>
      <c r="F16" s="88">
        <v>211</v>
      </c>
      <c r="G16" s="120" t="s">
        <v>1048</v>
      </c>
      <c r="H16" s="581" t="s">
        <v>1325</v>
      </c>
      <c r="I16" s="601">
        <v>4000</v>
      </c>
      <c r="J16" s="595" t="s">
        <v>9</v>
      </c>
      <c r="K16" s="91">
        <v>1</v>
      </c>
      <c r="L16" s="91">
        <v>3</v>
      </c>
      <c r="M16" s="91">
        <v>53</v>
      </c>
      <c r="N16" s="119" t="str">
        <f>VLOOKUP(M16,'PF Uscite Sp. Corr.'!$C$1:$E$100,2,FALSE)</f>
        <v>Servizi ausiliari per il funzionamento dell'ente</v>
      </c>
      <c r="O16" s="131">
        <v>1101</v>
      </c>
      <c r="P16" s="614" t="str">
        <f>VLOOKUP(O16,'Centri di Costo'!$A$2:$B$179,2,FALSE)</f>
        <v>Ricerca Agraria - Att. Istituzionale</v>
      </c>
      <c r="Q16" s="619" t="s">
        <v>1996</v>
      </c>
      <c r="R16" s="640"/>
    </row>
    <row r="17" spans="1:18" ht="54" customHeight="1" outlineLevel="2">
      <c r="A17" s="115" t="s">
        <v>588</v>
      </c>
      <c r="B17" s="400" t="s">
        <v>1857</v>
      </c>
      <c r="C17" s="115" t="s">
        <v>894</v>
      </c>
      <c r="D17" s="510" t="s">
        <v>561</v>
      </c>
      <c r="E17" s="412">
        <v>2018</v>
      </c>
      <c r="F17" s="413">
        <v>280</v>
      </c>
      <c r="G17" s="123" t="s">
        <v>1049</v>
      </c>
      <c r="H17" s="583" t="s">
        <v>1328</v>
      </c>
      <c r="I17" s="603">
        <f>2000+300</f>
        <v>2300</v>
      </c>
      <c r="J17" s="596" t="s">
        <v>9</v>
      </c>
      <c r="K17" s="216">
        <v>1</v>
      </c>
      <c r="L17" s="216">
        <v>3</v>
      </c>
      <c r="M17" s="216">
        <v>53</v>
      </c>
      <c r="N17" s="118" t="str">
        <f>VLOOKUP(M17,'PF Uscite Sp. Corr.'!$C$1:$E$100,2,FALSE)</f>
        <v>Servizi ausiliari per il funzionamento dell'ente</v>
      </c>
      <c r="O17" s="419">
        <v>1101</v>
      </c>
      <c r="P17" s="615" t="str">
        <f>VLOOKUP(O17,'Centri di Costo'!$A$2:$B$179,2,FALSE)</f>
        <v>Ricerca Agraria - Att. Istituzionale</v>
      </c>
      <c r="Q17" s="619" t="s">
        <v>1996</v>
      </c>
      <c r="R17" s="643" t="s">
        <v>25</v>
      </c>
    </row>
    <row r="18" spans="1:18" s="139" customFormat="1" ht="28.5" customHeight="1" outlineLevel="2">
      <c r="A18" s="397" t="s">
        <v>89</v>
      </c>
      <c r="B18" s="401" t="s">
        <v>1857</v>
      </c>
      <c r="C18" s="397" t="s">
        <v>233</v>
      </c>
      <c r="D18" s="511" t="s">
        <v>7</v>
      </c>
      <c r="E18" s="141">
        <v>2018</v>
      </c>
      <c r="F18" s="413">
        <v>274</v>
      </c>
      <c r="G18" s="124" t="s">
        <v>237</v>
      </c>
      <c r="H18" s="124" t="s">
        <v>243</v>
      </c>
      <c r="I18" s="604">
        <v>1250</v>
      </c>
      <c r="J18" s="135" t="s">
        <v>9</v>
      </c>
      <c r="K18" s="136">
        <v>1</v>
      </c>
      <c r="L18" s="136">
        <v>3</v>
      </c>
      <c r="M18" s="203">
        <v>55</v>
      </c>
      <c r="N18" s="129" t="str">
        <f>VLOOKUP(M18,'PF Uscite Sp. Corr.'!$C$1:$E$100,2,FALSE)</f>
        <v>Altri servizi</v>
      </c>
      <c r="O18" s="395">
        <v>1101</v>
      </c>
      <c r="P18" s="170" t="str">
        <f>VLOOKUP(O18,'Centri di Costo'!$A$2:$B$179,2,FALSE)</f>
        <v>Ricerca Agraria - Att. Istituzionale</v>
      </c>
      <c r="Q18" s="619" t="s">
        <v>1996</v>
      </c>
      <c r="R18" s="644" t="s">
        <v>239</v>
      </c>
    </row>
    <row r="19" spans="1:18" s="215" customFormat="1" ht="20.25" customHeight="1" outlineLevel="1">
      <c r="A19" s="160"/>
      <c r="B19" s="436" t="s">
        <v>1892</v>
      </c>
      <c r="C19" s="161"/>
      <c r="D19" s="437"/>
      <c r="E19" s="438"/>
      <c r="F19" s="438"/>
      <c r="G19" s="441" t="s">
        <v>1938</v>
      </c>
      <c r="H19" s="214" t="s">
        <v>1937</v>
      </c>
      <c r="I19" s="605">
        <f>SUBTOTAL(9,I4:I18)</f>
        <v>58750</v>
      </c>
      <c r="J19" s="212"/>
      <c r="K19" s="179"/>
      <c r="L19" s="179"/>
      <c r="M19" s="213"/>
      <c r="N19" s="434"/>
      <c r="O19" s="439"/>
      <c r="P19" s="435"/>
      <c r="Q19" s="620"/>
      <c r="R19" s="645"/>
    </row>
    <row r="20" spans="1:18" ht="28.5" customHeight="1" outlineLevel="2">
      <c r="A20" s="396" t="s">
        <v>588</v>
      </c>
      <c r="B20" s="404" t="s">
        <v>1858</v>
      </c>
      <c r="C20" s="396" t="s">
        <v>894</v>
      </c>
      <c r="D20" s="421" t="s">
        <v>7</v>
      </c>
      <c r="E20" s="422">
        <v>2018</v>
      </c>
      <c r="F20" s="102">
        <v>34</v>
      </c>
      <c r="G20" s="414" t="s">
        <v>900</v>
      </c>
      <c r="H20" s="584" t="s">
        <v>1090</v>
      </c>
      <c r="I20" s="604">
        <v>20000</v>
      </c>
      <c r="J20" s="597" t="s">
        <v>9</v>
      </c>
      <c r="K20" s="248">
        <v>1</v>
      </c>
      <c r="L20" s="512">
        <v>1</v>
      </c>
      <c r="M20" s="513" t="s">
        <v>1532</v>
      </c>
      <c r="N20" s="575" t="str">
        <f>VLOOKUP(M20,'PF Uscite Sp. Corr.'!$C$1:$E$100,2,FALSE)</f>
        <v>Salari, Oneri Sociali, Acc. TFR, Buoni Pasto (e IRAP su retribuz. se dovuta) OTI</v>
      </c>
      <c r="O20" s="424">
        <v>1118</v>
      </c>
      <c r="P20" s="616" t="str">
        <f>VLOOKUP(O20,'Centri di Costo'!$A$2:$B$179,2,FALSE)</f>
        <v>Att. Ord. Az. Diana - Spese Generali</v>
      </c>
      <c r="Q20" s="621" t="s">
        <v>1998</v>
      </c>
      <c r="R20" s="646" t="s">
        <v>427</v>
      </c>
    </row>
    <row r="21" spans="1:18" s="139" customFormat="1" ht="28.5" customHeight="1" outlineLevel="2">
      <c r="A21" s="397" t="s">
        <v>588</v>
      </c>
      <c r="B21" s="401" t="s">
        <v>1858</v>
      </c>
      <c r="C21" s="397" t="s">
        <v>894</v>
      </c>
      <c r="D21" s="511" t="s">
        <v>7</v>
      </c>
      <c r="E21" s="141">
        <v>2018</v>
      </c>
      <c r="F21" s="88">
        <v>43</v>
      </c>
      <c r="G21" s="124" t="s">
        <v>908</v>
      </c>
      <c r="H21" s="124" t="s">
        <v>1089</v>
      </c>
      <c r="I21" s="604">
        <v>50000</v>
      </c>
      <c r="J21" s="135" t="s">
        <v>9</v>
      </c>
      <c r="K21" s="136">
        <v>1</v>
      </c>
      <c r="L21" s="514">
        <v>1</v>
      </c>
      <c r="M21" s="515" t="s">
        <v>1532</v>
      </c>
      <c r="N21" s="576" t="str">
        <f>VLOOKUP(M21,'PF Uscite Sp. Corr.'!$C$1:$E$100,2,FALSE)</f>
        <v>Salari, Oneri Sociali, Acc. TFR, Buoni Pasto (e IRAP su retribuz. se dovuta) OTI</v>
      </c>
      <c r="O21" s="395">
        <v>1118</v>
      </c>
      <c r="P21" s="170" t="str">
        <f>VLOOKUP(O21,'Centri di Costo'!$A$2:$B$179,2,FALSE)</f>
        <v>Att. Ord. Az. Diana - Spese Generali</v>
      </c>
      <c r="Q21" s="621" t="s">
        <v>1998</v>
      </c>
      <c r="R21" s="644" t="s">
        <v>427</v>
      </c>
    </row>
    <row r="22" spans="1:18" ht="28.5" customHeight="1" outlineLevel="2">
      <c r="A22" s="94" t="s">
        <v>588</v>
      </c>
      <c r="B22" s="401" t="s">
        <v>1858</v>
      </c>
      <c r="C22" s="94" t="s">
        <v>894</v>
      </c>
      <c r="D22" s="149" t="s">
        <v>7</v>
      </c>
      <c r="E22" s="101">
        <v>2018</v>
      </c>
      <c r="F22" s="102">
        <v>34</v>
      </c>
      <c r="G22" s="121" t="s">
        <v>900</v>
      </c>
      <c r="H22" s="580" t="s">
        <v>1079</v>
      </c>
      <c r="I22" s="600">
        <v>10000</v>
      </c>
      <c r="J22" s="594" t="s">
        <v>9</v>
      </c>
      <c r="K22" s="99">
        <v>1</v>
      </c>
      <c r="L22" s="516">
        <v>1</v>
      </c>
      <c r="M22" s="517" t="s">
        <v>1530</v>
      </c>
      <c r="N22" s="577" t="str">
        <f>VLOOKUP(M22,'PF Uscite Sp. Corr.'!$C$1:$E$100,2,FALSE)</f>
        <v>Salari, Oneri Sociali, Acc. TFR, Buoni Pasto (e IRAP su retribuz. se dovuta) OTD</v>
      </c>
      <c r="O22" s="132">
        <v>1118</v>
      </c>
      <c r="P22" s="613" t="str">
        <f>VLOOKUP(O22,'Centri di Costo'!$A$2:$B$179,2,FALSE)</f>
        <v>Att. Ord. Az. Diana - Spese Generali</v>
      </c>
      <c r="Q22" s="621" t="s">
        <v>1998</v>
      </c>
      <c r="R22" s="639" t="s">
        <v>484</v>
      </c>
    </row>
    <row r="23" spans="1:18" ht="28.5" customHeight="1" outlineLevel="2">
      <c r="A23" s="85" t="s">
        <v>588</v>
      </c>
      <c r="B23" s="401" t="s">
        <v>1858</v>
      </c>
      <c r="C23" s="85" t="s">
        <v>894</v>
      </c>
      <c r="D23" s="148" t="s">
        <v>7</v>
      </c>
      <c r="E23" s="87">
        <v>2018</v>
      </c>
      <c r="F23" s="88">
        <v>43</v>
      </c>
      <c r="G23" s="120" t="s">
        <v>908</v>
      </c>
      <c r="H23" s="581" t="s">
        <v>1080</v>
      </c>
      <c r="I23" s="601">
        <v>30000</v>
      </c>
      <c r="J23" s="595" t="s">
        <v>9</v>
      </c>
      <c r="K23" s="91">
        <v>1</v>
      </c>
      <c r="L23" s="518">
        <v>1</v>
      </c>
      <c r="M23" s="232" t="s">
        <v>1530</v>
      </c>
      <c r="N23" s="578" t="str">
        <f>VLOOKUP(M23,'PF Uscite Sp. Corr.'!$C$1:$E$100,2,FALSE)</f>
        <v>Salari, Oneri Sociali, Acc. TFR, Buoni Pasto (e IRAP su retribuz. se dovuta) OTD</v>
      </c>
      <c r="O23" s="131">
        <v>1118</v>
      </c>
      <c r="P23" s="614" t="str">
        <f>VLOOKUP(O23,'Centri di Costo'!$A$2:$B$179,2,FALSE)</f>
        <v>Att. Ord. Az. Diana - Spese Generali</v>
      </c>
      <c r="Q23" s="621" t="s">
        <v>1998</v>
      </c>
      <c r="R23" s="642" t="s">
        <v>484</v>
      </c>
    </row>
    <row r="24" spans="1:18" ht="28.5" customHeight="1" outlineLevel="2">
      <c r="A24" s="108" t="s">
        <v>588</v>
      </c>
      <c r="B24" s="401" t="s">
        <v>1858</v>
      </c>
      <c r="C24" s="108" t="s">
        <v>894</v>
      </c>
      <c r="D24" s="149" t="s">
        <v>7</v>
      </c>
      <c r="E24" s="109">
        <v>2018</v>
      </c>
      <c r="F24" s="110">
        <v>107</v>
      </c>
      <c r="G24" s="146" t="s">
        <v>896</v>
      </c>
      <c r="H24" s="585" t="s">
        <v>1066</v>
      </c>
      <c r="I24" s="606">
        <f>2000+1800-2800</f>
        <v>1000</v>
      </c>
      <c r="J24" s="594" t="s">
        <v>9</v>
      </c>
      <c r="K24" s="99">
        <v>1</v>
      </c>
      <c r="L24" s="516">
        <v>1</v>
      </c>
      <c r="M24" s="517" t="s">
        <v>1530</v>
      </c>
      <c r="N24" s="577" t="str">
        <f>VLOOKUP(M24,'PF Uscite Sp. Corr.'!$C$1:$E$100,2,FALSE)</f>
        <v>Salari, Oneri Sociali, Acc. TFR, Buoni Pasto (e IRAP su retribuz. se dovuta) OTD</v>
      </c>
      <c r="O24" s="132">
        <v>1118</v>
      </c>
      <c r="P24" s="613" t="str">
        <f>VLOOKUP(O24,'Centri di Costo'!$A$2:$B$179,2,FALSE)</f>
        <v>Att. Ord. Az. Diana - Spese Generali</v>
      </c>
      <c r="Q24" s="621" t="s">
        <v>1998</v>
      </c>
      <c r="R24" s="647" t="s">
        <v>484</v>
      </c>
    </row>
    <row r="25" spans="1:18" ht="28.5" customHeight="1" outlineLevel="2">
      <c r="A25" s="94" t="s">
        <v>588</v>
      </c>
      <c r="B25" s="401" t="s">
        <v>1858</v>
      </c>
      <c r="C25" s="94" t="s">
        <v>894</v>
      </c>
      <c r="D25" s="149" t="s">
        <v>7</v>
      </c>
      <c r="E25" s="101">
        <v>2018</v>
      </c>
      <c r="F25" s="102">
        <v>49</v>
      </c>
      <c r="G25" s="121" t="s">
        <v>909</v>
      </c>
      <c r="H25" s="580" t="s">
        <v>919</v>
      </c>
      <c r="I25" s="600">
        <v>1000</v>
      </c>
      <c r="J25" s="594" t="s">
        <v>9</v>
      </c>
      <c r="K25" s="99">
        <v>1</v>
      </c>
      <c r="L25" s="99">
        <v>2</v>
      </c>
      <c r="M25" s="92">
        <v>16</v>
      </c>
      <c r="N25" s="128" t="str">
        <f>VLOOKUP(M25,'PF Uscite Sp. Corr.'!$C$1:$E$100,2,FALSE)</f>
        <v>Tassa e/o tariffa smaltimento rifiuti solidi urbani</v>
      </c>
      <c r="O25" s="132">
        <v>1118</v>
      </c>
      <c r="P25" s="613" t="str">
        <f>VLOOKUP(O25,'Centri di Costo'!$A$2:$B$179,2,FALSE)</f>
        <v>Att. Ord. Az. Diana - Spese Generali</v>
      </c>
      <c r="Q25" s="622" t="s">
        <v>1844</v>
      </c>
      <c r="R25" s="639" t="s">
        <v>71</v>
      </c>
    </row>
    <row r="26" spans="1:18" ht="28.5" customHeight="1" outlineLevel="2">
      <c r="A26" s="85" t="s">
        <v>588</v>
      </c>
      <c r="B26" s="401" t="s">
        <v>1858</v>
      </c>
      <c r="C26" s="85" t="s">
        <v>894</v>
      </c>
      <c r="D26" s="148" t="s">
        <v>7</v>
      </c>
      <c r="E26" s="87">
        <v>2018</v>
      </c>
      <c r="F26" s="88">
        <v>49</v>
      </c>
      <c r="G26" s="120" t="s">
        <v>909</v>
      </c>
      <c r="H26" s="581" t="s">
        <v>706</v>
      </c>
      <c r="I26" s="601">
        <v>200</v>
      </c>
      <c r="J26" s="595" t="s">
        <v>9</v>
      </c>
      <c r="K26" s="91">
        <v>1</v>
      </c>
      <c r="L26" s="91">
        <v>2</v>
      </c>
      <c r="M26" s="92">
        <v>19</v>
      </c>
      <c r="N26" s="119" t="str">
        <f>VLOOKUP(M26,'PF Uscite Sp. Corr.'!$C$1:$E$100,2,FALSE)</f>
        <v>Tassa di circolazione dei veicoli a motore (tassa automobilistica)</v>
      </c>
      <c r="O26" s="131">
        <v>1118</v>
      </c>
      <c r="P26" s="614" t="str">
        <f>VLOOKUP(O26,'Centri di Costo'!$A$2:$B$179,2,FALSE)</f>
        <v>Att. Ord. Az. Diana - Spese Generali</v>
      </c>
      <c r="Q26" s="622" t="s">
        <v>1844</v>
      </c>
      <c r="R26" s="642" t="s">
        <v>132</v>
      </c>
    </row>
    <row r="27" spans="1:18" ht="28.5" customHeight="1" outlineLevel="2">
      <c r="A27" s="85" t="s">
        <v>588</v>
      </c>
      <c r="B27" s="401" t="s">
        <v>1858</v>
      </c>
      <c r="C27" s="85" t="s">
        <v>894</v>
      </c>
      <c r="D27" s="148" t="s">
        <v>7</v>
      </c>
      <c r="E27" s="87">
        <v>2018</v>
      </c>
      <c r="F27" s="88">
        <v>49</v>
      </c>
      <c r="G27" s="120" t="s">
        <v>909</v>
      </c>
      <c r="H27" s="581" t="s">
        <v>920</v>
      </c>
      <c r="I27" s="601">
        <v>9800</v>
      </c>
      <c r="J27" s="595" t="s">
        <v>9</v>
      </c>
      <c r="K27" s="91">
        <v>1</v>
      </c>
      <c r="L27" s="91">
        <v>2</v>
      </c>
      <c r="M27" s="92">
        <v>29</v>
      </c>
      <c r="N27" s="119" t="str">
        <f>VLOOKUP(M27,'PF Uscite Sp. Corr.'!$C$1:$E$100,2,FALSE)</f>
        <v>Imposte, tasse e proventi assimilati a carico dell'ente n.a.c.</v>
      </c>
      <c r="O27" s="131">
        <v>1118</v>
      </c>
      <c r="P27" s="614" t="str">
        <f>VLOOKUP(O27,'Centri di Costo'!$A$2:$B$179,2,FALSE)</f>
        <v>Att. Ord. Az. Diana - Spese Generali</v>
      </c>
      <c r="Q27" s="622" t="s">
        <v>1844</v>
      </c>
      <c r="R27" s="642" t="s">
        <v>49</v>
      </c>
    </row>
    <row r="28" spans="1:18" ht="28.5" customHeight="1" outlineLevel="2">
      <c r="A28" s="85" t="s">
        <v>588</v>
      </c>
      <c r="B28" s="401" t="s">
        <v>1858</v>
      </c>
      <c r="C28" s="85" t="s">
        <v>894</v>
      </c>
      <c r="D28" s="148" t="s">
        <v>7</v>
      </c>
      <c r="E28" s="87">
        <v>2018</v>
      </c>
      <c r="F28" s="88">
        <v>107</v>
      </c>
      <c r="G28" s="120" t="s">
        <v>896</v>
      </c>
      <c r="H28" s="581" t="s">
        <v>1060</v>
      </c>
      <c r="I28" s="601">
        <v>400</v>
      </c>
      <c r="J28" s="595" t="s">
        <v>9</v>
      </c>
      <c r="K28" s="91">
        <v>1</v>
      </c>
      <c r="L28" s="91">
        <v>3</v>
      </c>
      <c r="M28" s="91">
        <v>32</v>
      </c>
      <c r="N28" s="119" t="str">
        <f>VLOOKUP(M28,'PF Uscite Sp. Corr.'!$C$1:$E$100,2,FALSE)</f>
        <v>Altri beni di consumo</v>
      </c>
      <c r="O28" s="131">
        <v>1111</v>
      </c>
      <c r="P28" s="614" t="str">
        <f>VLOOKUP(O28,'Centri di Costo'!$A$2:$B$179,2,FALSE)</f>
        <v>Att. Ord. Az. Diana - Seminativi</v>
      </c>
      <c r="Q28" s="619" t="s">
        <v>1996</v>
      </c>
      <c r="R28" s="642"/>
    </row>
    <row r="29" spans="1:18" ht="38.25" customHeight="1" outlineLevel="2">
      <c r="A29" s="85" t="s">
        <v>588</v>
      </c>
      <c r="B29" s="401" t="s">
        <v>1858</v>
      </c>
      <c r="C29" s="85" t="s">
        <v>894</v>
      </c>
      <c r="D29" s="148" t="s">
        <v>7</v>
      </c>
      <c r="E29" s="87">
        <v>2018</v>
      </c>
      <c r="F29" s="88">
        <v>104</v>
      </c>
      <c r="G29" s="120" t="s">
        <v>897</v>
      </c>
      <c r="H29" s="581" t="s">
        <v>1061</v>
      </c>
      <c r="I29" s="601">
        <f>1600-800</f>
        <v>800</v>
      </c>
      <c r="J29" s="595" t="s">
        <v>9</v>
      </c>
      <c r="K29" s="91">
        <v>1</v>
      </c>
      <c r="L29" s="91">
        <v>3</v>
      </c>
      <c r="M29" s="92">
        <v>32</v>
      </c>
      <c r="N29" s="119" t="str">
        <f>VLOOKUP(M29,'PF Uscite Sp. Corr.'!$C$1:$E$100,2,FALSE)</f>
        <v>Altri beni di consumo</v>
      </c>
      <c r="O29" s="131">
        <v>1111</v>
      </c>
      <c r="P29" s="614" t="str">
        <f>VLOOKUP(O29,'Centri di Costo'!$A$2:$B$179,2,FALSE)</f>
        <v>Att. Ord. Az. Diana - Seminativi</v>
      </c>
      <c r="Q29" s="619" t="s">
        <v>1996</v>
      </c>
      <c r="R29" s="642" t="s">
        <v>807</v>
      </c>
    </row>
    <row r="30" spans="1:18" ht="28.5" customHeight="1" outlineLevel="2">
      <c r="A30" s="85" t="s">
        <v>588</v>
      </c>
      <c r="B30" s="401" t="s">
        <v>1858</v>
      </c>
      <c r="C30" s="85" t="s">
        <v>894</v>
      </c>
      <c r="D30" s="148" t="s">
        <v>7</v>
      </c>
      <c r="E30" s="87">
        <v>2018</v>
      </c>
      <c r="F30" s="88">
        <v>34</v>
      </c>
      <c r="G30" s="120" t="s">
        <v>900</v>
      </c>
      <c r="H30" s="581" t="s">
        <v>1549</v>
      </c>
      <c r="I30" s="601">
        <v>14000</v>
      </c>
      <c r="J30" s="595" t="s">
        <v>9</v>
      </c>
      <c r="K30" s="91">
        <v>1</v>
      </c>
      <c r="L30" s="91">
        <v>3</v>
      </c>
      <c r="M30" s="92">
        <v>32</v>
      </c>
      <c r="N30" s="119" t="str">
        <f>VLOOKUP(M30,'PF Uscite Sp. Corr.'!$C$1:$E$100,2,FALSE)</f>
        <v>Altri beni di consumo</v>
      </c>
      <c r="O30" s="131">
        <v>1111</v>
      </c>
      <c r="P30" s="614" t="str">
        <f>VLOOKUP(O30,'Centri di Costo'!$A$2:$B$179,2,FALSE)</f>
        <v>Att. Ord. Az. Diana - Seminativi</v>
      </c>
      <c r="Q30" s="619" t="s">
        <v>1996</v>
      </c>
      <c r="R30" s="642" t="s">
        <v>807</v>
      </c>
    </row>
    <row r="31" spans="1:18" ht="28.5" customHeight="1" outlineLevel="2">
      <c r="A31" s="85" t="s">
        <v>588</v>
      </c>
      <c r="B31" s="401" t="s">
        <v>1858</v>
      </c>
      <c r="C31" s="85" t="s">
        <v>894</v>
      </c>
      <c r="D31" s="148" t="s">
        <v>7</v>
      </c>
      <c r="E31" s="87">
        <v>2018</v>
      </c>
      <c r="F31" s="88">
        <v>34</v>
      </c>
      <c r="G31" s="120" t="s">
        <v>900</v>
      </c>
      <c r="H31" s="581" t="s">
        <v>903</v>
      </c>
      <c r="I31" s="601">
        <v>12000</v>
      </c>
      <c r="J31" s="595" t="s">
        <v>9</v>
      </c>
      <c r="K31" s="91">
        <v>1</v>
      </c>
      <c r="L31" s="91">
        <v>3</v>
      </c>
      <c r="M31" s="92">
        <v>32</v>
      </c>
      <c r="N31" s="119" t="str">
        <f>VLOOKUP(M31,'PF Uscite Sp. Corr.'!$C$1:$E$100,2,FALSE)</f>
        <v>Altri beni di consumo</v>
      </c>
      <c r="O31" s="131">
        <v>1111</v>
      </c>
      <c r="P31" s="614" t="str">
        <f>VLOOKUP(O31,'Centri di Costo'!$A$2:$B$179,2,FALSE)</f>
        <v>Att. Ord. Az. Diana - Seminativi</v>
      </c>
      <c r="Q31" s="619" t="s">
        <v>1996</v>
      </c>
      <c r="R31" s="642" t="s">
        <v>810</v>
      </c>
    </row>
    <row r="32" spans="1:18" ht="28.5" customHeight="1" outlineLevel="2">
      <c r="A32" s="85" t="s">
        <v>588</v>
      </c>
      <c r="B32" s="401" t="s">
        <v>1858</v>
      </c>
      <c r="C32" s="85" t="s">
        <v>894</v>
      </c>
      <c r="D32" s="148" t="s">
        <v>7</v>
      </c>
      <c r="E32" s="87">
        <v>2018</v>
      </c>
      <c r="F32" s="88">
        <v>34</v>
      </c>
      <c r="G32" s="120" t="s">
        <v>900</v>
      </c>
      <c r="H32" s="581" t="s">
        <v>904</v>
      </c>
      <c r="I32" s="601">
        <v>16000</v>
      </c>
      <c r="J32" s="595" t="s">
        <v>9</v>
      </c>
      <c r="K32" s="91">
        <v>1</v>
      </c>
      <c r="L32" s="91">
        <v>3</v>
      </c>
      <c r="M32" s="92">
        <v>32</v>
      </c>
      <c r="N32" s="119" t="str">
        <f>VLOOKUP(M32,'PF Uscite Sp. Corr.'!$C$1:$E$100,2,FALSE)</f>
        <v>Altri beni di consumo</v>
      </c>
      <c r="O32" s="131">
        <v>1111</v>
      </c>
      <c r="P32" s="614" t="str">
        <f>VLOOKUP(O32,'Centri di Costo'!$A$2:$B$179,2,FALSE)</f>
        <v>Att. Ord. Az. Diana - Seminativi</v>
      </c>
      <c r="Q32" s="619" t="s">
        <v>1996</v>
      </c>
      <c r="R32" s="642" t="s">
        <v>812</v>
      </c>
    </row>
    <row r="33" spans="1:18" ht="28.5" customHeight="1" outlineLevel="2">
      <c r="A33" s="85" t="s">
        <v>588</v>
      </c>
      <c r="B33" s="401" t="s">
        <v>1858</v>
      </c>
      <c r="C33" s="85" t="s">
        <v>894</v>
      </c>
      <c r="D33" s="148" t="s">
        <v>7</v>
      </c>
      <c r="E33" s="87">
        <v>2018</v>
      </c>
      <c r="F33" s="88">
        <v>34</v>
      </c>
      <c r="G33" s="120" t="s">
        <v>900</v>
      </c>
      <c r="H33" s="581" t="s">
        <v>902</v>
      </c>
      <c r="I33" s="601">
        <v>7000</v>
      </c>
      <c r="J33" s="595" t="s">
        <v>9</v>
      </c>
      <c r="K33" s="91">
        <v>1</v>
      </c>
      <c r="L33" s="91">
        <v>3</v>
      </c>
      <c r="M33" s="92">
        <v>32</v>
      </c>
      <c r="N33" s="119" t="str">
        <f>VLOOKUP(M33,'PF Uscite Sp. Corr.'!$C$1:$E$100,2,FALSE)</f>
        <v>Altri beni di consumo</v>
      </c>
      <c r="O33" s="131">
        <v>1111</v>
      </c>
      <c r="P33" s="614" t="str">
        <f>VLOOKUP(O33,'Centri di Costo'!$A$2:$B$179,2,FALSE)</f>
        <v>Att. Ord. Az. Diana - Seminativi</v>
      </c>
      <c r="Q33" s="619" t="s">
        <v>1996</v>
      </c>
      <c r="R33" s="642" t="s">
        <v>426</v>
      </c>
    </row>
    <row r="34" spans="1:18" ht="28.5" customHeight="1" outlineLevel="2">
      <c r="A34" s="85" t="s">
        <v>588</v>
      </c>
      <c r="B34" s="401" t="s">
        <v>1858</v>
      </c>
      <c r="C34" s="85" t="s">
        <v>894</v>
      </c>
      <c r="D34" s="148" t="s">
        <v>7</v>
      </c>
      <c r="E34" s="87">
        <v>2018</v>
      </c>
      <c r="F34" s="88">
        <v>34</v>
      </c>
      <c r="G34" s="120" t="s">
        <v>900</v>
      </c>
      <c r="H34" s="581" t="s">
        <v>905</v>
      </c>
      <c r="I34" s="601">
        <v>400</v>
      </c>
      <c r="J34" s="595" t="s">
        <v>9</v>
      </c>
      <c r="K34" s="91">
        <v>1</v>
      </c>
      <c r="L34" s="91">
        <v>3</v>
      </c>
      <c r="M34" s="92">
        <v>32</v>
      </c>
      <c r="N34" s="119" t="str">
        <f>VLOOKUP(M34,'PF Uscite Sp. Corr.'!$C$1:$E$100,2,FALSE)</f>
        <v>Altri beni di consumo</v>
      </c>
      <c r="O34" s="131">
        <v>1111</v>
      </c>
      <c r="P34" s="614" t="str">
        <f>VLOOKUP(O34,'Centri di Costo'!$A$2:$B$179,2,FALSE)</f>
        <v>Att. Ord. Az. Diana - Seminativi</v>
      </c>
      <c r="Q34" s="619" t="s">
        <v>1996</v>
      </c>
      <c r="R34" s="642" t="s">
        <v>607</v>
      </c>
    </row>
    <row r="35" spans="1:18" ht="28.5" customHeight="1" outlineLevel="2">
      <c r="A35" s="85" t="s">
        <v>588</v>
      </c>
      <c r="B35" s="401" t="s">
        <v>1858</v>
      </c>
      <c r="C35" s="85" t="s">
        <v>894</v>
      </c>
      <c r="D35" s="148" t="s">
        <v>7</v>
      </c>
      <c r="E35" s="87">
        <v>2018</v>
      </c>
      <c r="F35" s="88">
        <v>43</v>
      </c>
      <c r="G35" s="120" t="s">
        <v>908</v>
      </c>
      <c r="H35" s="581" t="s">
        <v>902</v>
      </c>
      <c r="I35" s="601">
        <v>6000</v>
      </c>
      <c r="J35" s="595" t="s">
        <v>9</v>
      </c>
      <c r="K35" s="91">
        <v>1</v>
      </c>
      <c r="L35" s="91">
        <v>3</v>
      </c>
      <c r="M35" s="92">
        <v>32</v>
      </c>
      <c r="N35" s="119" t="str">
        <f>VLOOKUP(M35,'PF Uscite Sp. Corr.'!$C$1:$E$100,2,FALSE)</f>
        <v>Altri beni di consumo</v>
      </c>
      <c r="O35" s="131">
        <v>1112</v>
      </c>
      <c r="P35" s="614" t="str">
        <f>VLOOKUP(O35,'Centri di Costo'!$A$2:$B$179,2,FALSE)</f>
        <v>Att. Ord. Az. Diana - Vigneto</v>
      </c>
      <c r="Q35" s="619" t="s">
        <v>1996</v>
      </c>
      <c r="R35" s="642" t="s">
        <v>426</v>
      </c>
    </row>
    <row r="36" spans="1:18" ht="28.5" customHeight="1" outlineLevel="2">
      <c r="A36" s="85" t="s">
        <v>588</v>
      </c>
      <c r="B36" s="401" t="s">
        <v>1858</v>
      </c>
      <c r="C36" s="85" t="s">
        <v>894</v>
      </c>
      <c r="D36" s="148" t="s">
        <v>7</v>
      </c>
      <c r="E36" s="87">
        <v>2018</v>
      </c>
      <c r="F36" s="88">
        <v>43</v>
      </c>
      <c r="G36" s="120" t="s">
        <v>908</v>
      </c>
      <c r="H36" s="581" t="s">
        <v>903</v>
      </c>
      <c r="I36" s="601">
        <v>7000</v>
      </c>
      <c r="J36" s="595" t="s">
        <v>9</v>
      </c>
      <c r="K36" s="91">
        <v>1</v>
      </c>
      <c r="L36" s="91">
        <v>3</v>
      </c>
      <c r="M36" s="92">
        <v>32</v>
      </c>
      <c r="N36" s="119" t="str">
        <f>VLOOKUP(M36,'PF Uscite Sp. Corr.'!$C$1:$E$100,2,FALSE)</f>
        <v>Altri beni di consumo</v>
      </c>
      <c r="O36" s="131">
        <v>1112</v>
      </c>
      <c r="P36" s="614" t="str">
        <f>VLOOKUP(O36,'Centri di Costo'!$A$2:$B$179,2,FALSE)</f>
        <v>Att. Ord. Az. Diana - Vigneto</v>
      </c>
      <c r="Q36" s="619" t="s">
        <v>1996</v>
      </c>
      <c r="R36" s="642" t="s">
        <v>810</v>
      </c>
    </row>
    <row r="37" spans="1:18" ht="28.5" customHeight="1" outlineLevel="2">
      <c r="A37" s="85" t="s">
        <v>588</v>
      </c>
      <c r="B37" s="401" t="s">
        <v>1858</v>
      </c>
      <c r="C37" s="85" t="s">
        <v>894</v>
      </c>
      <c r="D37" s="148" t="s">
        <v>7</v>
      </c>
      <c r="E37" s="87">
        <v>2018</v>
      </c>
      <c r="F37" s="88">
        <v>43</v>
      </c>
      <c r="G37" s="120" t="s">
        <v>908</v>
      </c>
      <c r="H37" s="581" t="s">
        <v>1548</v>
      </c>
      <c r="I37" s="601">
        <v>1000</v>
      </c>
      <c r="J37" s="595" t="s">
        <v>9</v>
      </c>
      <c r="K37" s="91">
        <v>1</v>
      </c>
      <c r="L37" s="91">
        <v>3</v>
      </c>
      <c r="M37" s="92">
        <v>32</v>
      </c>
      <c r="N37" s="119" t="str">
        <f>VLOOKUP(M37,'PF Uscite Sp. Corr.'!$C$1:$E$100,2,FALSE)</f>
        <v>Altri beni di consumo</v>
      </c>
      <c r="O37" s="131">
        <v>1112</v>
      </c>
      <c r="P37" s="614" t="str">
        <f>VLOOKUP(O37,'Centri di Costo'!$A$2:$B$179,2,FALSE)</f>
        <v>Att. Ord. Az. Diana - Vigneto</v>
      </c>
      <c r="Q37" s="619" t="s">
        <v>1996</v>
      </c>
      <c r="R37" s="642" t="s">
        <v>812</v>
      </c>
    </row>
    <row r="38" spans="1:18" ht="28.5" customHeight="1" outlineLevel="2">
      <c r="A38" s="85" t="s">
        <v>588</v>
      </c>
      <c r="B38" s="401" t="s">
        <v>1858</v>
      </c>
      <c r="C38" s="85" t="s">
        <v>894</v>
      </c>
      <c r="D38" s="148" t="s">
        <v>7</v>
      </c>
      <c r="E38" s="87">
        <v>2018</v>
      </c>
      <c r="F38" s="88">
        <v>49</v>
      </c>
      <c r="G38" s="120" t="s">
        <v>909</v>
      </c>
      <c r="H38" s="581" t="s">
        <v>916</v>
      </c>
      <c r="I38" s="601">
        <v>300</v>
      </c>
      <c r="J38" s="595" t="s">
        <v>9</v>
      </c>
      <c r="K38" s="91">
        <v>1</v>
      </c>
      <c r="L38" s="91">
        <v>3</v>
      </c>
      <c r="M38" s="92">
        <v>32</v>
      </c>
      <c r="N38" s="119" t="str">
        <f>VLOOKUP(M38,'PF Uscite Sp. Corr.'!$C$1:$E$100,2,FALSE)</f>
        <v>Altri beni di consumo</v>
      </c>
      <c r="O38" s="131">
        <v>1118</v>
      </c>
      <c r="P38" s="614" t="str">
        <f>VLOOKUP(O38,'Centri di Costo'!$A$2:$B$179,2,FALSE)</f>
        <v>Att. Ord. Az. Diana - Spese Generali</v>
      </c>
      <c r="Q38" s="619" t="s">
        <v>1996</v>
      </c>
      <c r="R38" s="642" t="s">
        <v>436</v>
      </c>
    </row>
    <row r="39" spans="1:18" ht="28.5" customHeight="1" outlineLevel="2">
      <c r="A39" s="85" t="s">
        <v>588</v>
      </c>
      <c r="B39" s="401" t="s">
        <v>1858</v>
      </c>
      <c r="C39" s="85" t="s">
        <v>894</v>
      </c>
      <c r="D39" s="148" t="s">
        <v>7</v>
      </c>
      <c r="E39" s="87">
        <v>2018</v>
      </c>
      <c r="F39" s="88">
        <v>49</v>
      </c>
      <c r="G39" s="120" t="s">
        <v>909</v>
      </c>
      <c r="H39" s="581" t="s">
        <v>709</v>
      </c>
      <c r="I39" s="601">
        <v>100</v>
      </c>
      <c r="J39" s="595" t="s">
        <v>9</v>
      </c>
      <c r="K39" s="91">
        <v>1</v>
      </c>
      <c r="L39" s="91">
        <v>3</v>
      </c>
      <c r="M39" s="92">
        <v>32</v>
      </c>
      <c r="N39" s="119" t="str">
        <f>VLOOKUP(M39,'PF Uscite Sp. Corr.'!$C$1:$E$100,2,FALSE)</f>
        <v>Altri beni di consumo</v>
      </c>
      <c r="O39" s="131">
        <v>1118</v>
      </c>
      <c r="P39" s="614" t="str">
        <f>VLOOKUP(O39,'Centri di Costo'!$A$2:$B$179,2,FALSE)</f>
        <v>Att. Ord. Az. Diana - Spese Generali</v>
      </c>
      <c r="Q39" s="619" t="s">
        <v>1996</v>
      </c>
      <c r="R39" s="642" t="s">
        <v>683</v>
      </c>
    </row>
    <row r="40" spans="1:18" ht="28.5" customHeight="1" outlineLevel="2">
      <c r="A40" s="85" t="s">
        <v>588</v>
      </c>
      <c r="B40" s="401" t="s">
        <v>1858</v>
      </c>
      <c r="C40" s="85" t="s">
        <v>894</v>
      </c>
      <c r="D40" s="148" t="s">
        <v>7</v>
      </c>
      <c r="E40" s="87">
        <v>2018</v>
      </c>
      <c r="F40" s="88">
        <v>49</v>
      </c>
      <c r="G40" s="120" t="s">
        <v>909</v>
      </c>
      <c r="H40" s="581" t="s">
        <v>921</v>
      </c>
      <c r="I40" s="601">
        <v>200</v>
      </c>
      <c r="J40" s="595" t="s">
        <v>9</v>
      </c>
      <c r="K40" s="91">
        <v>1</v>
      </c>
      <c r="L40" s="91">
        <v>3</v>
      </c>
      <c r="M40" s="92">
        <v>32</v>
      </c>
      <c r="N40" s="119" t="str">
        <f>VLOOKUP(M40,'PF Uscite Sp. Corr.'!$C$1:$E$100,2,FALSE)</f>
        <v>Altri beni di consumo</v>
      </c>
      <c r="O40" s="131">
        <v>1118</v>
      </c>
      <c r="P40" s="614" t="str">
        <f>VLOOKUP(O40,'Centri di Costo'!$A$2:$B$179,2,FALSE)</f>
        <v>Att. Ord. Az. Diana - Spese Generali</v>
      </c>
      <c r="Q40" s="619" t="s">
        <v>1996</v>
      </c>
      <c r="R40" s="642" t="s">
        <v>469</v>
      </c>
    </row>
    <row r="41" spans="1:18" ht="28.5" customHeight="1" outlineLevel="2">
      <c r="A41" s="85" t="s">
        <v>588</v>
      </c>
      <c r="B41" s="401" t="s">
        <v>1858</v>
      </c>
      <c r="C41" s="85" t="s">
        <v>894</v>
      </c>
      <c r="D41" s="148" t="s">
        <v>7</v>
      </c>
      <c r="E41" s="87">
        <v>2018</v>
      </c>
      <c r="F41" s="88">
        <v>49</v>
      </c>
      <c r="G41" s="120" t="s">
        <v>909</v>
      </c>
      <c r="H41" s="581" t="s">
        <v>922</v>
      </c>
      <c r="I41" s="601">
        <v>400</v>
      </c>
      <c r="J41" s="595" t="s">
        <v>9</v>
      </c>
      <c r="K41" s="91">
        <v>1</v>
      </c>
      <c r="L41" s="91">
        <v>3</v>
      </c>
      <c r="M41" s="92">
        <v>32</v>
      </c>
      <c r="N41" s="119" t="str">
        <f>VLOOKUP(M41,'PF Uscite Sp. Corr.'!$C$1:$E$100,2,FALSE)</f>
        <v>Altri beni di consumo</v>
      </c>
      <c r="O41" s="131">
        <v>1118</v>
      </c>
      <c r="P41" s="614" t="str">
        <f>VLOOKUP(O41,'Centri di Costo'!$A$2:$B$179,2,FALSE)</f>
        <v>Att. Ord. Az. Diana - Spese Generali</v>
      </c>
      <c r="Q41" s="619" t="s">
        <v>1996</v>
      </c>
      <c r="R41" s="642" t="s">
        <v>438</v>
      </c>
    </row>
    <row r="42" spans="1:18" ht="28.5" customHeight="1" outlineLevel="2">
      <c r="A42" s="85" t="s">
        <v>588</v>
      </c>
      <c r="B42" s="401" t="s">
        <v>1858</v>
      </c>
      <c r="C42" s="85" t="s">
        <v>894</v>
      </c>
      <c r="D42" s="148" t="s">
        <v>7</v>
      </c>
      <c r="E42" s="87">
        <v>2018</v>
      </c>
      <c r="F42" s="88">
        <v>49</v>
      </c>
      <c r="G42" s="120" t="s">
        <v>909</v>
      </c>
      <c r="H42" s="581" t="s">
        <v>923</v>
      </c>
      <c r="I42" s="601">
        <v>500</v>
      </c>
      <c r="J42" s="595" t="s">
        <v>9</v>
      </c>
      <c r="K42" s="91">
        <v>1</v>
      </c>
      <c r="L42" s="91">
        <v>3</v>
      </c>
      <c r="M42" s="92">
        <v>32</v>
      </c>
      <c r="N42" s="119" t="str">
        <f>VLOOKUP(M42,'PF Uscite Sp. Corr.'!$C$1:$E$100,2,FALSE)</f>
        <v>Altri beni di consumo</v>
      </c>
      <c r="O42" s="131">
        <v>1118</v>
      </c>
      <c r="P42" s="614" t="str">
        <f>VLOOKUP(O42,'Centri di Costo'!$A$2:$B$179,2,FALSE)</f>
        <v>Att. Ord. Az. Diana - Spese Generali</v>
      </c>
      <c r="Q42" s="619" t="s">
        <v>1996</v>
      </c>
      <c r="R42" s="642" t="s">
        <v>610</v>
      </c>
    </row>
    <row r="43" spans="1:18" ht="28.5" customHeight="1" outlineLevel="2">
      <c r="A43" s="85" t="s">
        <v>588</v>
      </c>
      <c r="B43" s="401" t="s">
        <v>1858</v>
      </c>
      <c r="C43" s="85" t="s">
        <v>894</v>
      </c>
      <c r="D43" s="148" t="s">
        <v>7</v>
      </c>
      <c r="E43" s="87">
        <v>2018</v>
      </c>
      <c r="F43" s="88">
        <v>49</v>
      </c>
      <c r="G43" s="120" t="s">
        <v>909</v>
      </c>
      <c r="H43" s="581" t="s">
        <v>925</v>
      </c>
      <c r="I43" s="601">
        <v>200</v>
      </c>
      <c r="J43" s="595" t="s">
        <v>9</v>
      </c>
      <c r="K43" s="91">
        <v>1</v>
      </c>
      <c r="L43" s="91">
        <v>3</v>
      </c>
      <c r="M43" s="92">
        <v>32</v>
      </c>
      <c r="N43" s="119" t="str">
        <f>VLOOKUP(M43,'PF Uscite Sp. Corr.'!$C$1:$E$100,2,FALSE)</f>
        <v>Altri beni di consumo</v>
      </c>
      <c r="O43" s="131">
        <v>1118</v>
      </c>
      <c r="P43" s="614" t="str">
        <f>VLOOKUP(O43,'Centri di Costo'!$A$2:$B$179,2,FALSE)</f>
        <v>Att. Ord. Az. Diana - Spese Generali</v>
      </c>
      <c r="Q43" s="619" t="s">
        <v>1996</v>
      </c>
      <c r="R43" s="642" t="s">
        <v>652</v>
      </c>
    </row>
    <row r="44" spans="1:18" ht="28.5" customHeight="1" outlineLevel="2">
      <c r="A44" s="85" t="s">
        <v>588</v>
      </c>
      <c r="B44" s="401" t="s">
        <v>1858</v>
      </c>
      <c r="C44" s="85" t="s">
        <v>894</v>
      </c>
      <c r="D44" s="148" t="s">
        <v>7</v>
      </c>
      <c r="E44" s="87">
        <v>2018</v>
      </c>
      <c r="F44" s="88">
        <v>49</v>
      </c>
      <c r="G44" s="120" t="s">
        <v>909</v>
      </c>
      <c r="H44" s="581" t="s">
        <v>926</v>
      </c>
      <c r="I44" s="601">
        <v>600</v>
      </c>
      <c r="J44" s="595" t="s">
        <v>9</v>
      </c>
      <c r="K44" s="91">
        <v>1</v>
      </c>
      <c r="L44" s="91">
        <v>3</v>
      </c>
      <c r="M44" s="92">
        <v>32</v>
      </c>
      <c r="N44" s="119" t="str">
        <f>VLOOKUP(M44,'PF Uscite Sp. Corr.'!$C$1:$E$100,2,FALSE)</f>
        <v>Altri beni di consumo</v>
      </c>
      <c r="O44" s="131">
        <v>1118</v>
      </c>
      <c r="P44" s="614" t="str">
        <f>VLOOKUP(O44,'Centri di Costo'!$A$2:$B$179,2,FALSE)</f>
        <v>Att. Ord. Az. Diana - Spese Generali</v>
      </c>
      <c r="Q44" s="619" t="s">
        <v>1996</v>
      </c>
      <c r="R44" s="642" t="s">
        <v>545</v>
      </c>
    </row>
    <row r="45" spans="1:18" ht="28.5" customHeight="1" outlineLevel="2">
      <c r="A45" s="85" t="s">
        <v>588</v>
      </c>
      <c r="B45" s="401" t="s">
        <v>1858</v>
      </c>
      <c r="C45" s="85" t="s">
        <v>894</v>
      </c>
      <c r="D45" s="148" t="s">
        <v>7</v>
      </c>
      <c r="E45" s="87">
        <v>2018</v>
      </c>
      <c r="F45" s="88">
        <v>49</v>
      </c>
      <c r="G45" s="120" t="s">
        <v>909</v>
      </c>
      <c r="H45" s="581" t="s">
        <v>927</v>
      </c>
      <c r="I45" s="601">
        <v>600</v>
      </c>
      <c r="J45" s="595" t="s">
        <v>9</v>
      </c>
      <c r="K45" s="91">
        <v>1</v>
      </c>
      <c r="L45" s="91">
        <v>3</v>
      </c>
      <c r="M45" s="92">
        <v>32</v>
      </c>
      <c r="N45" s="119" t="str">
        <f>VLOOKUP(M45,'PF Uscite Sp. Corr.'!$C$1:$E$100,2,FALSE)</f>
        <v>Altri beni di consumo</v>
      </c>
      <c r="O45" s="131">
        <v>1118</v>
      </c>
      <c r="P45" s="614" t="str">
        <f>VLOOKUP(O45,'Centri di Costo'!$A$2:$B$179,2,FALSE)</f>
        <v>Att. Ord. Az. Diana - Spese Generali</v>
      </c>
      <c r="Q45" s="619" t="s">
        <v>1996</v>
      </c>
      <c r="R45" s="642" t="s">
        <v>481</v>
      </c>
    </row>
    <row r="46" spans="1:18" ht="28.5" customHeight="1" outlineLevel="2">
      <c r="A46" s="85" t="s">
        <v>588</v>
      </c>
      <c r="B46" s="401" t="s">
        <v>1858</v>
      </c>
      <c r="C46" s="85" t="s">
        <v>894</v>
      </c>
      <c r="D46" s="148" t="s">
        <v>7</v>
      </c>
      <c r="E46" s="87">
        <v>2018</v>
      </c>
      <c r="F46" s="88">
        <v>49</v>
      </c>
      <c r="G46" s="120" t="s">
        <v>909</v>
      </c>
      <c r="H46" s="581" t="s">
        <v>928</v>
      </c>
      <c r="I46" s="601">
        <v>400</v>
      </c>
      <c r="J46" s="595" t="s">
        <v>9</v>
      </c>
      <c r="K46" s="91">
        <v>1</v>
      </c>
      <c r="L46" s="91">
        <v>3</v>
      </c>
      <c r="M46" s="92">
        <v>32</v>
      </c>
      <c r="N46" s="119" t="str">
        <f>VLOOKUP(M46,'PF Uscite Sp. Corr.'!$C$1:$E$100,2,FALSE)</f>
        <v>Altri beni di consumo</v>
      </c>
      <c r="O46" s="131">
        <v>1118</v>
      </c>
      <c r="P46" s="614" t="str">
        <f>VLOOKUP(O46,'Centri di Costo'!$A$2:$B$179,2,FALSE)</f>
        <v>Att. Ord. Az. Diana - Spese Generali</v>
      </c>
      <c r="Q46" s="619" t="s">
        <v>1996</v>
      </c>
      <c r="R46" s="642" t="s">
        <v>483</v>
      </c>
    </row>
    <row r="47" spans="1:18" ht="28.5" customHeight="1" outlineLevel="2">
      <c r="A47" s="85" t="s">
        <v>588</v>
      </c>
      <c r="B47" s="401" t="s">
        <v>1858</v>
      </c>
      <c r="C47" s="85" t="s">
        <v>894</v>
      </c>
      <c r="D47" s="148" t="s">
        <v>7</v>
      </c>
      <c r="E47" s="87">
        <v>2018</v>
      </c>
      <c r="F47" s="88">
        <v>49</v>
      </c>
      <c r="G47" s="120" t="s">
        <v>909</v>
      </c>
      <c r="H47" s="581" t="s">
        <v>929</v>
      </c>
      <c r="I47" s="601">
        <v>500</v>
      </c>
      <c r="J47" s="595" t="s">
        <v>9</v>
      </c>
      <c r="K47" s="91">
        <v>1</v>
      </c>
      <c r="L47" s="91">
        <v>3</v>
      </c>
      <c r="M47" s="92">
        <v>32</v>
      </c>
      <c r="N47" s="119" t="str">
        <f>VLOOKUP(M47,'PF Uscite Sp. Corr.'!$C$1:$E$100,2,FALSE)</f>
        <v>Altri beni di consumo</v>
      </c>
      <c r="O47" s="131">
        <v>1118</v>
      </c>
      <c r="P47" s="614" t="str">
        <f>VLOOKUP(O47,'Centri di Costo'!$A$2:$B$179,2,FALSE)</f>
        <v>Att. Ord. Az. Diana - Spese Generali</v>
      </c>
      <c r="Q47" s="619" t="s">
        <v>1996</v>
      </c>
      <c r="R47" s="642" t="s">
        <v>424</v>
      </c>
    </row>
    <row r="48" spans="1:18" ht="28.5" customHeight="1" outlineLevel="2">
      <c r="A48" s="85" t="s">
        <v>588</v>
      </c>
      <c r="B48" s="401" t="s">
        <v>1858</v>
      </c>
      <c r="C48" s="85" t="s">
        <v>894</v>
      </c>
      <c r="D48" s="148" t="s">
        <v>7</v>
      </c>
      <c r="E48" s="87">
        <v>2018</v>
      </c>
      <c r="F48" s="88">
        <v>49</v>
      </c>
      <c r="G48" s="120" t="s">
        <v>909</v>
      </c>
      <c r="H48" s="581" t="s">
        <v>930</v>
      </c>
      <c r="I48" s="601">
        <v>3000</v>
      </c>
      <c r="J48" s="595" t="s">
        <v>9</v>
      </c>
      <c r="K48" s="91">
        <v>1</v>
      </c>
      <c r="L48" s="91">
        <v>3</v>
      </c>
      <c r="M48" s="92">
        <v>32</v>
      </c>
      <c r="N48" s="119" t="str">
        <f>VLOOKUP(M48,'PF Uscite Sp. Corr.'!$C$1:$E$100,2,FALSE)</f>
        <v>Altri beni di consumo</v>
      </c>
      <c r="O48" s="131">
        <v>1118</v>
      </c>
      <c r="P48" s="614" t="str">
        <f>VLOOKUP(O48,'Centri di Costo'!$A$2:$B$179,2,FALSE)</f>
        <v>Att. Ord. Az. Diana - Spese Generali</v>
      </c>
      <c r="Q48" s="619" t="s">
        <v>1996</v>
      </c>
      <c r="R48" s="642" t="s">
        <v>192</v>
      </c>
    </row>
    <row r="49" spans="1:18" ht="28.5" customHeight="1" outlineLevel="2">
      <c r="A49" s="85" t="s">
        <v>588</v>
      </c>
      <c r="B49" s="401" t="s">
        <v>1858</v>
      </c>
      <c r="C49" s="85" t="s">
        <v>894</v>
      </c>
      <c r="D49" s="148" t="s">
        <v>7</v>
      </c>
      <c r="E49" s="87">
        <v>2018</v>
      </c>
      <c r="F49" s="88">
        <v>49</v>
      </c>
      <c r="G49" s="120" t="s">
        <v>909</v>
      </c>
      <c r="H49" s="581" t="s">
        <v>931</v>
      </c>
      <c r="I49" s="601">
        <v>800</v>
      </c>
      <c r="J49" s="595" t="s">
        <v>9</v>
      </c>
      <c r="K49" s="91">
        <v>1</v>
      </c>
      <c r="L49" s="91">
        <v>3</v>
      </c>
      <c r="M49" s="92">
        <v>32</v>
      </c>
      <c r="N49" s="119" t="str">
        <f>VLOOKUP(M49,'PF Uscite Sp. Corr.'!$C$1:$E$100,2,FALSE)</f>
        <v>Altri beni di consumo</v>
      </c>
      <c r="O49" s="131">
        <v>1118</v>
      </c>
      <c r="P49" s="614" t="str">
        <f>VLOOKUP(O49,'Centri di Costo'!$A$2:$B$179,2,FALSE)</f>
        <v>Att. Ord. Az. Diana - Spese Generali</v>
      </c>
      <c r="Q49" s="619" t="s">
        <v>2014</v>
      </c>
      <c r="R49" s="642" t="s">
        <v>113</v>
      </c>
    </row>
    <row r="50" spans="1:18" ht="28.5" customHeight="1" outlineLevel="2">
      <c r="A50" s="85" t="s">
        <v>588</v>
      </c>
      <c r="B50" s="401" t="s">
        <v>1858</v>
      </c>
      <c r="C50" s="85" t="s">
        <v>894</v>
      </c>
      <c r="D50" s="148" t="s">
        <v>7</v>
      </c>
      <c r="E50" s="87">
        <v>2018</v>
      </c>
      <c r="F50" s="88">
        <v>49</v>
      </c>
      <c r="G50" s="120" t="s">
        <v>909</v>
      </c>
      <c r="H50" s="581" t="s">
        <v>935</v>
      </c>
      <c r="I50" s="601">
        <v>1000</v>
      </c>
      <c r="J50" s="595" t="s">
        <v>9</v>
      </c>
      <c r="K50" s="91">
        <v>1</v>
      </c>
      <c r="L50" s="91">
        <v>3</v>
      </c>
      <c r="M50" s="92">
        <v>32</v>
      </c>
      <c r="N50" s="119" t="str">
        <f>VLOOKUP(M50,'PF Uscite Sp. Corr.'!$C$1:$E$100,2,FALSE)</f>
        <v>Altri beni di consumo</v>
      </c>
      <c r="O50" s="131">
        <v>1118</v>
      </c>
      <c r="P50" s="614" t="str">
        <f>VLOOKUP(O50,'Centri di Costo'!$A$2:$B$179,2,FALSE)</f>
        <v>Att. Ord. Az. Diana - Spese Generali</v>
      </c>
      <c r="Q50" s="619" t="s">
        <v>1996</v>
      </c>
      <c r="R50" s="642" t="s">
        <v>743</v>
      </c>
    </row>
    <row r="51" spans="1:18" ht="28.5" customHeight="1" outlineLevel="2">
      <c r="A51" s="85" t="s">
        <v>588</v>
      </c>
      <c r="B51" s="401" t="s">
        <v>1858</v>
      </c>
      <c r="C51" s="85" t="s">
        <v>894</v>
      </c>
      <c r="D51" s="148" t="s">
        <v>7</v>
      </c>
      <c r="E51" s="87">
        <v>2018</v>
      </c>
      <c r="F51" s="88">
        <v>49</v>
      </c>
      <c r="G51" s="120" t="s">
        <v>909</v>
      </c>
      <c r="H51" s="581" t="s">
        <v>937</v>
      </c>
      <c r="I51" s="601">
        <v>700</v>
      </c>
      <c r="J51" s="595" t="s">
        <v>9</v>
      </c>
      <c r="K51" s="91">
        <v>1</v>
      </c>
      <c r="L51" s="91">
        <v>3</v>
      </c>
      <c r="M51" s="92">
        <v>32</v>
      </c>
      <c r="N51" s="119" t="str">
        <f>VLOOKUP(M51,'PF Uscite Sp. Corr.'!$C$1:$E$100,2,FALSE)</f>
        <v>Altri beni di consumo</v>
      </c>
      <c r="O51" s="131">
        <v>1118</v>
      </c>
      <c r="P51" s="614" t="str">
        <f>VLOOKUP(O51,'Centri di Costo'!$A$2:$B$179,2,FALSE)</f>
        <v>Att. Ord. Az. Diana - Spese Generali</v>
      </c>
      <c r="Q51" s="619" t="s">
        <v>1996</v>
      </c>
      <c r="R51" s="642" t="s">
        <v>472</v>
      </c>
    </row>
    <row r="52" spans="1:18" ht="28.5" customHeight="1" outlineLevel="2">
      <c r="A52" s="85" t="s">
        <v>588</v>
      </c>
      <c r="B52" s="401" t="s">
        <v>1858</v>
      </c>
      <c r="C52" s="85" t="s">
        <v>894</v>
      </c>
      <c r="D52" s="148" t="s">
        <v>7</v>
      </c>
      <c r="E52" s="87">
        <v>2018</v>
      </c>
      <c r="F52" s="88">
        <v>49</v>
      </c>
      <c r="G52" s="120" t="s">
        <v>909</v>
      </c>
      <c r="H52" s="581" t="s">
        <v>924</v>
      </c>
      <c r="I52" s="601">
        <v>800</v>
      </c>
      <c r="J52" s="595" t="s">
        <v>9</v>
      </c>
      <c r="K52" s="91">
        <v>1</v>
      </c>
      <c r="L52" s="91">
        <v>3</v>
      </c>
      <c r="M52" s="92">
        <v>42</v>
      </c>
      <c r="N52" s="119" t="str">
        <f>VLOOKUP(M52,'PF Uscite Sp. Corr.'!$C$1:$E$100,2,FALSE)</f>
        <v>Rimborso viaggio e Indennità di missione e trasferta</v>
      </c>
      <c r="O52" s="131">
        <v>1118</v>
      </c>
      <c r="P52" s="614" t="str">
        <f>VLOOKUP(O52,'Centri di Costo'!$A$2:$B$179,2,FALSE)</f>
        <v>Att. Ord. Az. Diana - Spese Generali</v>
      </c>
      <c r="Q52" s="619" t="s">
        <v>1996</v>
      </c>
      <c r="R52" s="642" t="s">
        <v>74</v>
      </c>
    </row>
    <row r="53" spans="1:18" ht="28.5" customHeight="1" outlineLevel="2">
      <c r="A53" s="85" t="s">
        <v>588</v>
      </c>
      <c r="B53" s="401" t="s">
        <v>1858</v>
      </c>
      <c r="C53" s="85" t="s">
        <v>894</v>
      </c>
      <c r="D53" s="148" t="s">
        <v>7</v>
      </c>
      <c r="E53" s="87">
        <v>2018</v>
      </c>
      <c r="F53" s="88">
        <v>49</v>
      </c>
      <c r="G53" s="120" t="s">
        <v>909</v>
      </c>
      <c r="H53" s="581" t="s">
        <v>718</v>
      </c>
      <c r="I53" s="601">
        <v>500</v>
      </c>
      <c r="J53" s="595" t="s">
        <v>9</v>
      </c>
      <c r="K53" s="91">
        <v>1</v>
      </c>
      <c r="L53" s="91">
        <v>3</v>
      </c>
      <c r="M53" s="92">
        <v>45</v>
      </c>
      <c r="N53" s="119" t="str">
        <f>VLOOKUP(M53,'PF Uscite Sp. Corr.'!$C$1:$E$100,2,FALSE)</f>
        <v>Utenze e canoni</v>
      </c>
      <c r="O53" s="131">
        <v>1118</v>
      </c>
      <c r="P53" s="614" t="str">
        <f>VLOOKUP(O53,'Centri di Costo'!$A$2:$B$179,2,FALSE)</f>
        <v>Att. Ord. Az. Diana - Spese Generali</v>
      </c>
      <c r="Q53" s="619" t="s">
        <v>1996</v>
      </c>
      <c r="R53" s="642" t="s">
        <v>67</v>
      </c>
    </row>
    <row r="54" spans="1:18" ht="28.5" customHeight="1" outlineLevel="2">
      <c r="A54" s="85" t="s">
        <v>588</v>
      </c>
      <c r="B54" s="401" t="s">
        <v>1858</v>
      </c>
      <c r="C54" s="85" t="s">
        <v>894</v>
      </c>
      <c r="D54" s="148" t="s">
        <v>7</v>
      </c>
      <c r="E54" s="87">
        <v>2018</v>
      </c>
      <c r="F54" s="88">
        <v>49</v>
      </c>
      <c r="G54" s="120" t="s">
        <v>909</v>
      </c>
      <c r="H54" s="581" t="s">
        <v>720</v>
      </c>
      <c r="I54" s="601">
        <v>5000</v>
      </c>
      <c r="J54" s="595" t="s">
        <v>9</v>
      </c>
      <c r="K54" s="91">
        <v>1</v>
      </c>
      <c r="L54" s="91">
        <v>3</v>
      </c>
      <c r="M54" s="92">
        <v>45</v>
      </c>
      <c r="N54" s="119" t="str">
        <f>VLOOKUP(M54,'PF Uscite Sp. Corr.'!$C$1:$E$100,2,FALSE)</f>
        <v>Utenze e canoni</v>
      </c>
      <c r="O54" s="131">
        <v>1118</v>
      </c>
      <c r="P54" s="614" t="str">
        <f>VLOOKUP(O54,'Centri di Costo'!$A$2:$B$179,2,FALSE)</f>
        <v>Att. Ord. Az. Diana - Spese Generali</v>
      </c>
      <c r="Q54" s="623" t="s">
        <v>2014</v>
      </c>
      <c r="R54" s="642" t="s">
        <v>58</v>
      </c>
    </row>
    <row r="55" spans="1:18" ht="28.5" customHeight="1" outlineLevel="2">
      <c r="A55" s="85" t="s">
        <v>588</v>
      </c>
      <c r="B55" s="401" t="s">
        <v>1858</v>
      </c>
      <c r="C55" s="85" t="s">
        <v>894</v>
      </c>
      <c r="D55" s="148" t="s">
        <v>7</v>
      </c>
      <c r="E55" s="87">
        <v>2018</v>
      </c>
      <c r="F55" s="88">
        <v>49</v>
      </c>
      <c r="G55" s="120" t="s">
        <v>909</v>
      </c>
      <c r="H55" s="581" t="s">
        <v>914</v>
      </c>
      <c r="I55" s="601">
        <v>400</v>
      </c>
      <c r="J55" s="595" t="s">
        <v>9</v>
      </c>
      <c r="K55" s="91">
        <v>1</v>
      </c>
      <c r="L55" s="91">
        <v>3</v>
      </c>
      <c r="M55" s="92">
        <v>45</v>
      </c>
      <c r="N55" s="119" t="str">
        <f>VLOOKUP(M55,'PF Uscite Sp. Corr.'!$C$1:$E$100,2,FALSE)</f>
        <v>Utenze e canoni</v>
      </c>
      <c r="O55" s="131">
        <v>1118</v>
      </c>
      <c r="P55" s="614" t="str">
        <f>VLOOKUP(O55,'Centri di Costo'!$A$2:$B$179,2,FALSE)</f>
        <v>Att. Ord. Az. Diana - Spese Generali</v>
      </c>
      <c r="Q55" s="623" t="s">
        <v>2014</v>
      </c>
      <c r="R55" s="642" t="s">
        <v>65</v>
      </c>
    </row>
    <row r="56" spans="1:18" ht="28.5" customHeight="1" outlineLevel="2">
      <c r="A56" s="85" t="s">
        <v>588</v>
      </c>
      <c r="B56" s="401" t="s">
        <v>1858</v>
      </c>
      <c r="C56" s="85" t="s">
        <v>894</v>
      </c>
      <c r="D56" s="148" t="s">
        <v>7</v>
      </c>
      <c r="E56" s="87">
        <v>2018</v>
      </c>
      <c r="F56" s="88">
        <v>49</v>
      </c>
      <c r="G56" s="120" t="s">
        <v>909</v>
      </c>
      <c r="H56" s="581" t="s">
        <v>2031</v>
      </c>
      <c r="I56" s="601">
        <v>0</v>
      </c>
      <c r="J56" s="595" t="s">
        <v>9</v>
      </c>
      <c r="K56" s="91">
        <v>1</v>
      </c>
      <c r="L56" s="91">
        <v>3</v>
      </c>
      <c r="M56" s="92">
        <v>45</v>
      </c>
      <c r="N56" s="119" t="str">
        <f>VLOOKUP(M56,'PF Uscite Sp. Corr.'!$C$1:$E$100,2,FALSE)</f>
        <v>Utenze e canoni</v>
      </c>
      <c r="O56" s="131">
        <v>1118</v>
      </c>
      <c r="P56" s="614" t="str">
        <f>VLOOKUP(O56,'Centri di Costo'!$A$2:$B$179,2,FALSE)</f>
        <v>Att. Ord. Az. Diana - Spese Generali</v>
      </c>
      <c r="Q56" s="623" t="s">
        <v>2014</v>
      </c>
      <c r="R56" s="642" t="s">
        <v>77</v>
      </c>
    </row>
    <row r="57" spans="1:18" ht="28.5" customHeight="1" outlineLevel="2">
      <c r="A57" s="85" t="s">
        <v>588</v>
      </c>
      <c r="B57" s="401" t="s">
        <v>1858</v>
      </c>
      <c r="C57" s="85" t="s">
        <v>894</v>
      </c>
      <c r="D57" s="148" t="s">
        <v>7</v>
      </c>
      <c r="E57" s="87">
        <v>2018</v>
      </c>
      <c r="F57" s="88">
        <v>49</v>
      </c>
      <c r="G57" s="120" t="s">
        <v>909</v>
      </c>
      <c r="H57" s="581" t="s">
        <v>936</v>
      </c>
      <c r="I57" s="601">
        <v>1000</v>
      </c>
      <c r="J57" s="595" t="s">
        <v>9</v>
      </c>
      <c r="K57" s="91">
        <v>1</v>
      </c>
      <c r="L57" s="91">
        <v>3</v>
      </c>
      <c r="M57" s="92">
        <v>47</v>
      </c>
      <c r="N57" s="119" t="str">
        <f>VLOOKUP(M57,'PF Uscite Sp. Corr.'!$C$1:$E$100,2,FALSE)</f>
        <v>Utilizzo di beni di terzi</v>
      </c>
      <c r="O57" s="131">
        <v>1118</v>
      </c>
      <c r="P57" s="614" t="str">
        <f>VLOOKUP(O57,'Centri di Costo'!$A$2:$B$179,2,FALSE)</f>
        <v>Att. Ord. Az. Diana - Spese Generali</v>
      </c>
      <c r="Q57" s="619" t="s">
        <v>1996</v>
      </c>
      <c r="R57" s="642" t="s">
        <v>356</v>
      </c>
    </row>
    <row r="58" spans="1:18" ht="28.5" customHeight="1" outlineLevel="2">
      <c r="A58" s="85" t="s">
        <v>588</v>
      </c>
      <c r="B58" s="401" t="s">
        <v>1858</v>
      </c>
      <c r="C58" s="85" t="s">
        <v>894</v>
      </c>
      <c r="D58" s="148" t="s">
        <v>7</v>
      </c>
      <c r="E58" s="87">
        <v>2018</v>
      </c>
      <c r="F58" s="88">
        <v>107</v>
      </c>
      <c r="G58" s="120" t="s">
        <v>896</v>
      </c>
      <c r="H58" s="581" t="s">
        <v>1059</v>
      </c>
      <c r="I58" s="601">
        <f>2000-1600</f>
        <v>400</v>
      </c>
      <c r="J58" s="595" t="s">
        <v>9</v>
      </c>
      <c r="K58" s="91">
        <v>1</v>
      </c>
      <c r="L58" s="91">
        <v>3</v>
      </c>
      <c r="M58" s="92">
        <v>49</v>
      </c>
      <c r="N58" s="119" t="str">
        <f>VLOOKUP(M58,'PF Uscite Sp. Corr.'!$C$1:$E$100,2,FALSE)</f>
        <v>Manutenzione ordinaria e riparazioni</v>
      </c>
      <c r="O58" s="131">
        <v>1111</v>
      </c>
      <c r="P58" s="614" t="str">
        <f>VLOOKUP(O58,'Centri di Costo'!$A$2:$B$179,2,FALSE)</f>
        <v>Att. Ord. Az. Diana - Seminativi</v>
      </c>
      <c r="Q58" s="619" t="s">
        <v>1996</v>
      </c>
      <c r="R58" s="642" t="s">
        <v>409</v>
      </c>
    </row>
    <row r="59" spans="1:18" ht="28.5" customHeight="1" outlineLevel="2">
      <c r="A59" s="85" t="s">
        <v>588</v>
      </c>
      <c r="B59" s="401" t="s">
        <v>1858</v>
      </c>
      <c r="C59" s="85" t="s">
        <v>894</v>
      </c>
      <c r="D59" s="148" t="s">
        <v>7</v>
      </c>
      <c r="E59" s="87">
        <v>2018</v>
      </c>
      <c r="F59" s="88">
        <v>49</v>
      </c>
      <c r="G59" s="120" t="s">
        <v>909</v>
      </c>
      <c r="H59" s="581" t="s">
        <v>910</v>
      </c>
      <c r="I59" s="601">
        <v>400</v>
      </c>
      <c r="J59" s="595" t="s">
        <v>9</v>
      </c>
      <c r="K59" s="91">
        <v>1</v>
      </c>
      <c r="L59" s="91">
        <v>3</v>
      </c>
      <c r="M59" s="92">
        <v>49</v>
      </c>
      <c r="N59" s="119" t="str">
        <f>VLOOKUP(M59,'PF Uscite Sp. Corr.'!$C$1:$E$100,2,FALSE)</f>
        <v>Manutenzione ordinaria e riparazioni</v>
      </c>
      <c r="O59" s="131">
        <v>1118</v>
      </c>
      <c r="P59" s="614" t="str">
        <f>VLOOKUP(O59,'Centri di Costo'!$A$2:$B$179,2,FALSE)</f>
        <v>Att. Ord. Az. Diana - Spese Generali</v>
      </c>
      <c r="Q59" s="619" t="s">
        <v>1996</v>
      </c>
      <c r="R59" s="642" t="s">
        <v>647</v>
      </c>
    </row>
    <row r="60" spans="1:18" ht="28.5" customHeight="1" outlineLevel="2">
      <c r="A60" s="85" t="s">
        <v>588</v>
      </c>
      <c r="B60" s="401" t="s">
        <v>1858</v>
      </c>
      <c r="C60" s="85" t="s">
        <v>894</v>
      </c>
      <c r="D60" s="148" t="s">
        <v>7</v>
      </c>
      <c r="E60" s="87">
        <v>2018</v>
      </c>
      <c r="F60" s="88">
        <v>49</v>
      </c>
      <c r="G60" s="120" t="s">
        <v>909</v>
      </c>
      <c r="H60" s="581" t="s">
        <v>911</v>
      </c>
      <c r="I60" s="601">
        <v>5000</v>
      </c>
      <c r="J60" s="595" t="s">
        <v>9</v>
      </c>
      <c r="K60" s="91">
        <v>1</v>
      </c>
      <c r="L60" s="91">
        <v>3</v>
      </c>
      <c r="M60" s="92">
        <v>49</v>
      </c>
      <c r="N60" s="119" t="str">
        <f>VLOOKUP(M60,'PF Uscite Sp. Corr.'!$C$1:$E$100,2,FALSE)</f>
        <v>Manutenzione ordinaria e riparazioni</v>
      </c>
      <c r="O60" s="131">
        <v>1118</v>
      </c>
      <c r="P60" s="614" t="str">
        <f>VLOOKUP(O60,'Centri di Costo'!$A$2:$B$179,2,FALSE)</f>
        <v>Att. Ord. Az. Diana - Spese Generali</v>
      </c>
      <c r="Q60" s="619" t="s">
        <v>1996</v>
      </c>
      <c r="R60" s="642" t="s">
        <v>409</v>
      </c>
    </row>
    <row r="61" spans="1:18" ht="28.5" customHeight="1" outlineLevel="2">
      <c r="A61" s="85" t="s">
        <v>588</v>
      </c>
      <c r="B61" s="401" t="s">
        <v>1858</v>
      </c>
      <c r="C61" s="85" t="s">
        <v>894</v>
      </c>
      <c r="D61" s="148" t="s">
        <v>7</v>
      </c>
      <c r="E61" s="87">
        <v>2018</v>
      </c>
      <c r="F61" s="88">
        <v>49</v>
      </c>
      <c r="G61" s="120" t="s">
        <v>909</v>
      </c>
      <c r="H61" s="581" t="s">
        <v>912</v>
      </c>
      <c r="I61" s="601">
        <v>500</v>
      </c>
      <c r="J61" s="595" t="s">
        <v>9</v>
      </c>
      <c r="K61" s="91">
        <v>1</v>
      </c>
      <c r="L61" s="91">
        <v>3</v>
      </c>
      <c r="M61" s="92">
        <v>49</v>
      </c>
      <c r="N61" s="119" t="str">
        <f>VLOOKUP(M61,'PF Uscite Sp. Corr.'!$C$1:$E$100,2,FALSE)</f>
        <v>Manutenzione ordinaria e riparazioni</v>
      </c>
      <c r="O61" s="131">
        <v>1118</v>
      </c>
      <c r="P61" s="614" t="str">
        <f>VLOOKUP(O61,'Centri di Costo'!$A$2:$B$179,2,FALSE)</f>
        <v>Att. Ord. Az. Diana - Spese Generali</v>
      </c>
      <c r="Q61" s="619" t="s">
        <v>1996</v>
      </c>
      <c r="R61" s="642" t="s">
        <v>111</v>
      </c>
    </row>
    <row r="62" spans="1:18" ht="28.5" customHeight="1" outlineLevel="2">
      <c r="A62" s="85" t="s">
        <v>588</v>
      </c>
      <c r="B62" s="401" t="s">
        <v>1858</v>
      </c>
      <c r="C62" s="85" t="s">
        <v>894</v>
      </c>
      <c r="D62" s="148" t="s">
        <v>7</v>
      </c>
      <c r="E62" s="87">
        <v>2018</v>
      </c>
      <c r="F62" s="88">
        <v>49</v>
      </c>
      <c r="G62" s="120" t="s">
        <v>909</v>
      </c>
      <c r="H62" s="581" t="s">
        <v>913</v>
      </c>
      <c r="I62" s="601">
        <v>2000</v>
      </c>
      <c r="J62" s="595" t="s">
        <v>9</v>
      </c>
      <c r="K62" s="91">
        <v>1</v>
      </c>
      <c r="L62" s="91">
        <v>3</v>
      </c>
      <c r="M62" s="92">
        <v>49</v>
      </c>
      <c r="N62" s="119" t="str">
        <f>VLOOKUP(M62,'PF Uscite Sp. Corr.'!$C$1:$E$100,2,FALSE)</f>
        <v>Manutenzione ordinaria e riparazioni</v>
      </c>
      <c r="O62" s="131">
        <v>1118</v>
      </c>
      <c r="P62" s="614" t="str">
        <f>VLOOKUP(O62,'Centri di Costo'!$A$2:$B$179,2,FALSE)</f>
        <v>Att. Ord. Az. Diana - Spese Generali</v>
      </c>
      <c r="Q62" s="619" t="s">
        <v>1996</v>
      </c>
      <c r="R62" s="642" t="s">
        <v>93</v>
      </c>
    </row>
    <row r="63" spans="1:18" ht="28.5" customHeight="1" outlineLevel="2">
      <c r="A63" s="85" t="s">
        <v>588</v>
      </c>
      <c r="B63" s="401" t="s">
        <v>1858</v>
      </c>
      <c r="C63" s="85" t="s">
        <v>894</v>
      </c>
      <c r="D63" s="148" t="s">
        <v>7</v>
      </c>
      <c r="E63" s="87">
        <v>2018</v>
      </c>
      <c r="F63" s="88">
        <v>49</v>
      </c>
      <c r="G63" s="120" t="s">
        <v>909</v>
      </c>
      <c r="H63" s="581" t="s">
        <v>915</v>
      </c>
      <c r="I63" s="601">
        <v>3000</v>
      </c>
      <c r="J63" s="595" t="s">
        <v>9</v>
      </c>
      <c r="K63" s="91">
        <v>1</v>
      </c>
      <c r="L63" s="91">
        <v>3</v>
      </c>
      <c r="M63" s="92">
        <v>49</v>
      </c>
      <c r="N63" s="119" t="str">
        <f>VLOOKUP(M63,'PF Uscite Sp. Corr.'!$C$1:$E$100,2,FALSE)</f>
        <v>Manutenzione ordinaria e riparazioni</v>
      </c>
      <c r="O63" s="131">
        <v>1118</v>
      </c>
      <c r="P63" s="614" t="str">
        <f>VLOOKUP(O63,'Centri di Costo'!$A$2:$B$179,2,FALSE)</f>
        <v>Att. Ord. Az. Diana - Spese Generali</v>
      </c>
      <c r="Q63" s="619" t="s">
        <v>1996</v>
      </c>
      <c r="R63" s="642" t="s">
        <v>612</v>
      </c>
    </row>
    <row r="64" spans="1:18" ht="28.5" customHeight="1" outlineLevel="2">
      <c r="A64" s="85" t="s">
        <v>588</v>
      </c>
      <c r="B64" s="401" t="s">
        <v>1858</v>
      </c>
      <c r="C64" s="85" t="s">
        <v>894</v>
      </c>
      <c r="D64" s="148" t="s">
        <v>7</v>
      </c>
      <c r="E64" s="87">
        <v>2018</v>
      </c>
      <c r="F64" s="88">
        <v>49</v>
      </c>
      <c r="G64" s="120" t="s">
        <v>909</v>
      </c>
      <c r="H64" s="581" t="s">
        <v>932</v>
      </c>
      <c r="I64" s="601">
        <v>1000</v>
      </c>
      <c r="J64" s="595" t="s">
        <v>9</v>
      </c>
      <c r="K64" s="91">
        <v>1</v>
      </c>
      <c r="L64" s="91">
        <v>3</v>
      </c>
      <c r="M64" s="92">
        <v>49</v>
      </c>
      <c r="N64" s="119" t="str">
        <f>VLOOKUP(M64,'PF Uscite Sp. Corr.'!$C$1:$E$100,2,FALSE)</f>
        <v>Manutenzione ordinaria e riparazioni</v>
      </c>
      <c r="O64" s="131">
        <v>1118</v>
      </c>
      <c r="P64" s="614" t="str">
        <f>VLOOKUP(O64,'Centri di Costo'!$A$2:$B$179,2,FALSE)</f>
        <v>Att. Ord. Az. Diana - Spese Generali</v>
      </c>
      <c r="Q64" s="619" t="s">
        <v>1996</v>
      </c>
      <c r="R64" s="642" t="s">
        <v>99</v>
      </c>
    </row>
    <row r="65" spans="1:18" ht="28.5" customHeight="1" outlineLevel="2">
      <c r="A65" s="85" t="s">
        <v>588</v>
      </c>
      <c r="B65" s="401" t="s">
        <v>1858</v>
      </c>
      <c r="C65" s="85" t="s">
        <v>894</v>
      </c>
      <c r="D65" s="148" t="s">
        <v>7</v>
      </c>
      <c r="E65" s="87">
        <v>2018</v>
      </c>
      <c r="F65" s="88">
        <v>49</v>
      </c>
      <c r="G65" s="120" t="s">
        <v>909</v>
      </c>
      <c r="H65" s="581" t="s">
        <v>992</v>
      </c>
      <c r="I65" s="601">
        <v>1600</v>
      </c>
      <c r="J65" s="595" t="s">
        <v>9</v>
      </c>
      <c r="K65" s="91">
        <v>1</v>
      </c>
      <c r="L65" s="91">
        <v>3</v>
      </c>
      <c r="M65" s="92">
        <v>51</v>
      </c>
      <c r="N65" s="119" t="str">
        <f>VLOOKUP(M65,'PF Uscite Sp. Corr.'!$C$1:$E$100,2,FALSE)</f>
        <v>Prestazioni professionali e specialistiche</v>
      </c>
      <c r="O65" s="131">
        <v>1118</v>
      </c>
      <c r="P65" s="614" t="str">
        <f>VLOOKUP(O65,'Centri di Costo'!$A$2:$B$179,2,FALSE)</f>
        <v>Att. Ord. Az. Diana - Spese Generali</v>
      </c>
      <c r="Q65" s="619" t="s">
        <v>2029</v>
      </c>
      <c r="R65" s="642" t="s">
        <v>504</v>
      </c>
    </row>
    <row r="66" spans="1:18" ht="28.5" customHeight="1" outlineLevel="2">
      <c r="A66" s="85" t="s">
        <v>588</v>
      </c>
      <c r="B66" s="401" t="s">
        <v>1858</v>
      </c>
      <c r="C66" s="85" t="s">
        <v>894</v>
      </c>
      <c r="D66" s="148" t="s">
        <v>7</v>
      </c>
      <c r="E66" s="87">
        <v>2018</v>
      </c>
      <c r="F66" s="88">
        <v>107</v>
      </c>
      <c r="G66" s="120" t="s">
        <v>896</v>
      </c>
      <c r="H66" s="581" t="s">
        <v>1058</v>
      </c>
      <c r="I66" s="601">
        <f>1400-600</f>
        <v>800</v>
      </c>
      <c r="J66" s="595" t="s">
        <v>9</v>
      </c>
      <c r="K66" s="91">
        <v>1</v>
      </c>
      <c r="L66" s="91">
        <v>3</v>
      </c>
      <c r="M66" s="92">
        <v>53</v>
      </c>
      <c r="N66" s="119" t="str">
        <f>VLOOKUP(M66,'PF Uscite Sp. Corr.'!$C$1:$E$100,2,FALSE)</f>
        <v>Servizi ausiliari per il funzionamento dell'ente</v>
      </c>
      <c r="O66" s="131">
        <v>1111</v>
      </c>
      <c r="P66" s="614" t="str">
        <f>VLOOKUP(O66,'Centri di Costo'!$A$2:$B$179,2,FALSE)</f>
        <v>Att. Ord. Az. Diana - Seminativi</v>
      </c>
      <c r="Q66" s="619" t="s">
        <v>1996</v>
      </c>
      <c r="R66" s="642" t="s">
        <v>667</v>
      </c>
    </row>
    <row r="67" spans="1:18" ht="42" customHeight="1" outlineLevel="2">
      <c r="A67" s="85" t="s">
        <v>588</v>
      </c>
      <c r="B67" s="401" t="s">
        <v>1858</v>
      </c>
      <c r="C67" s="85" t="s">
        <v>894</v>
      </c>
      <c r="D67" s="148" t="s">
        <v>7</v>
      </c>
      <c r="E67" s="87">
        <v>2018</v>
      </c>
      <c r="F67" s="88">
        <v>104</v>
      </c>
      <c r="G67" s="120" t="s">
        <v>897</v>
      </c>
      <c r="H67" s="581" t="s">
        <v>1063</v>
      </c>
      <c r="I67" s="601">
        <v>600</v>
      </c>
      <c r="J67" s="595" t="s">
        <v>9</v>
      </c>
      <c r="K67" s="91">
        <v>1</v>
      </c>
      <c r="L67" s="91">
        <v>3</v>
      </c>
      <c r="M67" s="92">
        <v>53</v>
      </c>
      <c r="N67" s="119" t="str">
        <f>VLOOKUP(M67,'PF Uscite Sp. Corr.'!$C$1:$E$100,2,FALSE)</f>
        <v>Servizi ausiliari per il funzionamento dell'ente</v>
      </c>
      <c r="O67" s="131">
        <v>1111</v>
      </c>
      <c r="P67" s="614" t="str">
        <f>VLOOKUP(O67,'Centri di Costo'!$A$2:$B$179,2,FALSE)</f>
        <v>Att. Ord. Az. Diana - Seminativi</v>
      </c>
      <c r="Q67" s="619" t="s">
        <v>1996</v>
      </c>
      <c r="R67" s="642" t="s">
        <v>614</v>
      </c>
    </row>
    <row r="68" spans="1:18" ht="28.5" customHeight="1" outlineLevel="2">
      <c r="A68" s="85" t="s">
        <v>588</v>
      </c>
      <c r="B68" s="401" t="s">
        <v>1858</v>
      </c>
      <c r="C68" s="85" t="s">
        <v>894</v>
      </c>
      <c r="D68" s="148" t="s">
        <v>7</v>
      </c>
      <c r="E68" s="87">
        <v>2018</v>
      </c>
      <c r="F68" s="88">
        <v>34</v>
      </c>
      <c r="G68" s="120" t="s">
        <v>900</v>
      </c>
      <c r="H68" s="581" t="s">
        <v>906</v>
      </c>
      <c r="I68" s="601">
        <v>5000</v>
      </c>
      <c r="J68" s="595" t="s">
        <v>9</v>
      </c>
      <c r="K68" s="91">
        <v>1</v>
      </c>
      <c r="L68" s="91">
        <v>3</v>
      </c>
      <c r="M68" s="92">
        <v>53</v>
      </c>
      <c r="N68" s="119" t="str">
        <f>VLOOKUP(M68,'PF Uscite Sp. Corr.'!$C$1:$E$100,2,FALSE)</f>
        <v>Servizi ausiliari per il funzionamento dell'ente</v>
      </c>
      <c r="O68" s="131">
        <v>1111</v>
      </c>
      <c r="P68" s="614" t="str">
        <f>VLOOKUP(O68,'Centri di Costo'!$A$2:$B$179,2,FALSE)</f>
        <v>Att. Ord. Az. Diana - Seminativi</v>
      </c>
      <c r="Q68" s="619" t="s">
        <v>1996</v>
      </c>
      <c r="R68" s="642" t="s">
        <v>372</v>
      </c>
    </row>
    <row r="69" spans="1:18" ht="28.5" customHeight="1" outlineLevel="2">
      <c r="A69" s="85" t="s">
        <v>588</v>
      </c>
      <c r="B69" s="401" t="s">
        <v>1858</v>
      </c>
      <c r="C69" s="85" t="s">
        <v>894</v>
      </c>
      <c r="D69" s="148" t="s">
        <v>7</v>
      </c>
      <c r="E69" s="87">
        <v>2018</v>
      </c>
      <c r="F69" s="88">
        <v>34</v>
      </c>
      <c r="G69" s="120" t="s">
        <v>900</v>
      </c>
      <c r="H69" s="581" t="s">
        <v>907</v>
      </c>
      <c r="I69" s="601">
        <v>12000</v>
      </c>
      <c r="J69" s="595" t="s">
        <v>9</v>
      </c>
      <c r="K69" s="91">
        <v>1</v>
      </c>
      <c r="L69" s="91">
        <v>3</v>
      </c>
      <c r="M69" s="92">
        <v>53</v>
      </c>
      <c r="N69" s="119" t="str">
        <f>VLOOKUP(M69,'PF Uscite Sp. Corr.'!$C$1:$E$100,2,FALSE)</f>
        <v>Servizi ausiliari per il funzionamento dell'ente</v>
      </c>
      <c r="O69" s="131">
        <v>1111</v>
      </c>
      <c r="P69" s="614" t="str">
        <f>VLOOKUP(O69,'Centri di Costo'!$A$2:$B$179,2,FALSE)</f>
        <v>Att. Ord. Az. Diana - Seminativi</v>
      </c>
      <c r="Q69" s="619" t="s">
        <v>1996</v>
      </c>
      <c r="R69" s="642" t="s">
        <v>614</v>
      </c>
    </row>
    <row r="70" spans="1:18" ht="28.5" customHeight="1" outlineLevel="2">
      <c r="A70" s="85" t="s">
        <v>588</v>
      </c>
      <c r="B70" s="401" t="s">
        <v>1858</v>
      </c>
      <c r="C70" s="85" t="s">
        <v>894</v>
      </c>
      <c r="D70" s="148" t="s">
        <v>7</v>
      </c>
      <c r="E70" s="87">
        <v>2018</v>
      </c>
      <c r="F70" s="88">
        <v>49</v>
      </c>
      <c r="G70" s="120" t="s">
        <v>909</v>
      </c>
      <c r="H70" s="581" t="s">
        <v>917</v>
      </c>
      <c r="I70" s="601">
        <v>500</v>
      </c>
      <c r="J70" s="595" t="s">
        <v>9</v>
      </c>
      <c r="K70" s="91">
        <v>1</v>
      </c>
      <c r="L70" s="91">
        <v>3</v>
      </c>
      <c r="M70" s="92">
        <v>53</v>
      </c>
      <c r="N70" s="119" t="str">
        <f>VLOOKUP(M70,'PF Uscite Sp. Corr.'!$C$1:$E$100,2,FALSE)</f>
        <v>Servizi ausiliari per il funzionamento dell'ente</v>
      </c>
      <c r="O70" s="131">
        <v>1118</v>
      </c>
      <c r="P70" s="614" t="str">
        <f>VLOOKUP(O70,'Centri di Costo'!$A$2:$B$179,2,FALSE)</f>
        <v>Att. Ord. Az. Diana - Spese Generali</v>
      </c>
      <c r="Q70" s="619" t="s">
        <v>1996</v>
      </c>
      <c r="R70" s="642" t="s">
        <v>479</v>
      </c>
    </row>
    <row r="71" spans="1:18" ht="28.5" customHeight="1" outlineLevel="2">
      <c r="A71" s="85" t="s">
        <v>588</v>
      </c>
      <c r="B71" s="401" t="s">
        <v>1858</v>
      </c>
      <c r="C71" s="85" t="s">
        <v>894</v>
      </c>
      <c r="D71" s="148" t="s">
        <v>7</v>
      </c>
      <c r="E71" s="87">
        <v>2018</v>
      </c>
      <c r="F71" s="88">
        <v>49</v>
      </c>
      <c r="G71" s="120" t="s">
        <v>909</v>
      </c>
      <c r="H71" s="581" t="s">
        <v>918</v>
      </c>
      <c r="I71" s="601">
        <v>1300</v>
      </c>
      <c r="J71" s="595" t="s">
        <v>9</v>
      </c>
      <c r="K71" s="91">
        <v>1</v>
      </c>
      <c r="L71" s="91">
        <v>3</v>
      </c>
      <c r="M71" s="92">
        <v>53</v>
      </c>
      <c r="N71" s="119" t="str">
        <f>VLOOKUP(M71,'PF Uscite Sp. Corr.'!$C$1:$E$100,2,FALSE)</f>
        <v>Servizi ausiliari per il funzionamento dell'ente</v>
      </c>
      <c r="O71" s="131">
        <v>1118</v>
      </c>
      <c r="P71" s="614" t="str">
        <f>VLOOKUP(O71,'Centri di Costo'!$A$2:$B$179,2,FALSE)</f>
        <v>Att. Ord. Az. Diana - Spese Generali</v>
      </c>
      <c r="Q71" s="619" t="s">
        <v>1996</v>
      </c>
      <c r="R71" s="642" t="s">
        <v>315</v>
      </c>
    </row>
    <row r="72" spans="1:18" ht="28.5" customHeight="1" outlineLevel="2">
      <c r="A72" s="85" t="s">
        <v>588</v>
      </c>
      <c r="B72" s="401" t="s">
        <v>1858</v>
      </c>
      <c r="C72" s="85" t="s">
        <v>894</v>
      </c>
      <c r="D72" s="148" t="s">
        <v>7</v>
      </c>
      <c r="E72" s="87">
        <v>2018</v>
      </c>
      <c r="F72" s="88">
        <v>49</v>
      </c>
      <c r="G72" s="120" t="s">
        <v>909</v>
      </c>
      <c r="H72" s="581" t="s">
        <v>907</v>
      </c>
      <c r="I72" s="601">
        <v>2000</v>
      </c>
      <c r="J72" s="595" t="s">
        <v>9</v>
      </c>
      <c r="K72" s="91">
        <v>1</v>
      </c>
      <c r="L72" s="91">
        <v>3</v>
      </c>
      <c r="M72" s="92">
        <v>53</v>
      </c>
      <c r="N72" s="119" t="str">
        <f>VLOOKUP(M72,'PF Uscite Sp. Corr.'!$C$1:$E$100,2,FALSE)</f>
        <v>Servizi ausiliari per il funzionamento dell'ente</v>
      </c>
      <c r="O72" s="131">
        <v>1118</v>
      </c>
      <c r="P72" s="614" t="str">
        <f>VLOOKUP(O72,'Centri di Costo'!$A$2:$B$179,2,FALSE)</f>
        <v>Att. Ord. Az. Diana - Spese Generali</v>
      </c>
      <c r="Q72" s="619" t="s">
        <v>1996</v>
      </c>
      <c r="R72" s="642" t="s">
        <v>614</v>
      </c>
    </row>
    <row r="73" spans="1:18" ht="28.5" customHeight="1" outlineLevel="2">
      <c r="A73" s="85" t="s">
        <v>588</v>
      </c>
      <c r="B73" s="401" t="s">
        <v>1858</v>
      </c>
      <c r="C73" s="85" t="s">
        <v>894</v>
      </c>
      <c r="D73" s="148" t="s">
        <v>7</v>
      </c>
      <c r="E73" s="87">
        <v>2018</v>
      </c>
      <c r="F73" s="88">
        <v>49</v>
      </c>
      <c r="G73" s="120" t="s">
        <v>909</v>
      </c>
      <c r="H73" s="581" t="s">
        <v>933</v>
      </c>
      <c r="I73" s="601">
        <v>1500</v>
      </c>
      <c r="J73" s="595" t="s">
        <v>9</v>
      </c>
      <c r="K73" s="91">
        <v>1</v>
      </c>
      <c r="L73" s="91">
        <v>3</v>
      </c>
      <c r="M73" s="92">
        <v>55</v>
      </c>
      <c r="N73" s="119" t="str">
        <f>VLOOKUP(M73,'PF Uscite Sp. Corr.'!$C$1:$E$100,2,FALSE)</f>
        <v>Altri servizi</v>
      </c>
      <c r="O73" s="131">
        <v>1118</v>
      </c>
      <c r="P73" s="614" t="str">
        <f>VLOOKUP(O73,'Centri di Costo'!$A$2:$B$179,2,FALSE)</f>
        <v>Att. Ord. Az. Diana - Spese Generali</v>
      </c>
      <c r="Q73" s="619" t="s">
        <v>1996</v>
      </c>
      <c r="R73" s="642" t="s">
        <v>239</v>
      </c>
    </row>
    <row r="74" spans="1:18" ht="28.5" customHeight="1" outlineLevel="2">
      <c r="A74" s="94" t="s">
        <v>89</v>
      </c>
      <c r="B74" s="401" t="s">
        <v>1858</v>
      </c>
      <c r="C74" s="94" t="s">
        <v>233</v>
      </c>
      <c r="D74" s="149" t="s">
        <v>7</v>
      </c>
      <c r="E74" s="101">
        <v>2018</v>
      </c>
      <c r="F74" s="88">
        <v>274</v>
      </c>
      <c r="G74" s="121" t="s">
        <v>237</v>
      </c>
      <c r="H74" s="580" t="s">
        <v>238</v>
      </c>
      <c r="I74" s="600">
        <v>100</v>
      </c>
      <c r="J74" s="594" t="s">
        <v>9</v>
      </c>
      <c r="K74" s="99">
        <v>1</v>
      </c>
      <c r="L74" s="99">
        <v>3</v>
      </c>
      <c r="M74" s="113">
        <v>55</v>
      </c>
      <c r="N74" s="128" t="str">
        <f>VLOOKUP(M74,'PF Uscite Sp. Corr.'!$C$1:$E$100,2,FALSE)</f>
        <v>Altri servizi</v>
      </c>
      <c r="O74" s="132">
        <v>1118</v>
      </c>
      <c r="P74" s="613" t="str">
        <f>VLOOKUP(O74,'Centri di Costo'!$A$2:$B$179,2,FALSE)</f>
        <v>Att. Ord. Az. Diana - Spese Generali</v>
      </c>
      <c r="Q74" s="619" t="s">
        <v>1996</v>
      </c>
      <c r="R74" s="639" t="s">
        <v>239</v>
      </c>
    </row>
    <row r="75" spans="1:18" ht="28.5" customHeight="1" outlineLevel="2">
      <c r="A75" s="85" t="s">
        <v>588</v>
      </c>
      <c r="B75" s="401" t="s">
        <v>1858</v>
      </c>
      <c r="C75" s="85" t="s">
        <v>894</v>
      </c>
      <c r="D75" s="148" t="s">
        <v>7</v>
      </c>
      <c r="E75" s="87">
        <v>2018</v>
      </c>
      <c r="F75" s="88">
        <v>49</v>
      </c>
      <c r="G75" s="120" t="s">
        <v>909</v>
      </c>
      <c r="H75" s="581" t="s">
        <v>934</v>
      </c>
      <c r="I75" s="601">
        <v>100</v>
      </c>
      <c r="J75" s="595" t="s">
        <v>9</v>
      </c>
      <c r="K75" s="91">
        <v>1</v>
      </c>
      <c r="L75" s="91">
        <v>3</v>
      </c>
      <c r="M75" s="92">
        <v>56</v>
      </c>
      <c r="N75" s="119" t="str">
        <f>VLOOKUP(M75,'PF Uscite Sp. Corr.'!$C$1:$E$100,2,FALSE)</f>
        <v>Servizi amministrativi</v>
      </c>
      <c r="O75" s="131">
        <v>1118</v>
      </c>
      <c r="P75" s="614" t="str">
        <f>VLOOKUP(O75,'Centri di Costo'!$A$2:$B$179,2,FALSE)</f>
        <v>Att. Ord. Az. Diana - Spese Generali</v>
      </c>
      <c r="Q75" s="619" t="s">
        <v>1996</v>
      </c>
      <c r="R75" s="642" t="s">
        <v>173</v>
      </c>
    </row>
    <row r="76" spans="1:18" ht="28.5" customHeight="1" outlineLevel="2">
      <c r="A76" s="85" t="s">
        <v>89</v>
      </c>
      <c r="B76" s="401" t="s">
        <v>1858</v>
      </c>
      <c r="C76" s="85" t="s">
        <v>150</v>
      </c>
      <c r="D76" s="148" t="s">
        <v>7</v>
      </c>
      <c r="E76" s="87">
        <v>2018</v>
      </c>
      <c r="F76" s="88">
        <v>133</v>
      </c>
      <c r="G76" s="120" t="s">
        <v>200</v>
      </c>
      <c r="H76" s="581" t="s">
        <v>209</v>
      </c>
      <c r="I76" s="601">
        <v>1000</v>
      </c>
      <c r="J76" s="595" t="s">
        <v>9</v>
      </c>
      <c r="K76" s="91">
        <v>1</v>
      </c>
      <c r="L76" s="91">
        <v>3</v>
      </c>
      <c r="M76" s="92">
        <v>59</v>
      </c>
      <c r="N76" s="119" t="str">
        <f>VLOOKUP(M76,'PF Uscite Sp. Corr.'!$C$1:$E$100,2,FALSE)</f>
        <v>Servizi informatici e di telecomunicazioni</v>
      </c>
      <c r="O76" s="131">
        <v>1118</v>
      </c>
      <c r="P76" s="614" t="str">
        <f>VLOOKUP(O76,'Centri di Costo'!$A$2:$B$179,2,FALSE)</f>
        <v>Att. Ord. Az. Diana - Spese Generali</v>
      </c>
      <c r="Q76" s="623" t="s">
        <v>2014</v>
      </c>
      <c r="R76" s="642" t="s">
        <v>202</v>
      </c>
    </row>
    <row r="77" spans="1:18" ht="28.5" customHeight="1" outlineLevel="2">
      <c r="A77" s="85" t="s">
        <v>588</v>
      </c>
      <c r="B77" s="401" t="s">
        <v>1858</v>
      </c>
      <c r="C77" s="85" t="s">
        <v>894</v>
      </c>
      <c r="D77" s="148" t="s">
        <v>7</v>
      </c>
      <c r="E77" s="87">
        <v>2018</v>
      </c>
      <c r="F77" s="88">
        <v>34</v>
      </c>
      <c r="G77" s="120" t="s">
        <v>900</v>
      </c>
      <c r="H77" s="581" t="s">
        <v>901</v>
      </c>
      <c r="I77" s="601">
        <v>5000</v>
      </c>
      <c r="J77" s="595" t="s">
        <v>9</v>
      </c>
      <c r="K77" s="91">
        <v>1</v>
      </c>
      <c r="L77" s="91">
        <v>10</v>
      </c>
      <c r="M77" s="92">
        <v>86</v>
      </c>
      <c r="N77" s="119" t="str">
        <f>VLOOKUP(M77,'PF Uscite Sp. Corr.'!$C$1:$E$100,2,FALSE)</f>
        <v>Premi di assicurazione contro i danni</v>
      </c>
      <c r="O77" s="131">
        <v>1111</v>
      </c>
      <c r="P77" s="614" t="str">
        <f>VLOOKUP(O77,'Centri di Costo'!$A$2:$B$179,2,FALSE)</f>
        <v>Att. Ord. Az. Diana - Seminativi</v>
      </c>
      <c r="Q77" s="623" t="s">
        <v>1996</v>
      </c>
      <c r="R77" s="642" t="s">
        <v>163</v>
      </c>
    </row>
    <row r="78" spans="1:18" ht="28.5" customHeight="1" outlineLevel="2">
      <c r="A78" s="94" t="s">
        <v>588</v>
      </c>
      <c r="B78" s="401" t="s">
        <v>1858</v>
      </c>
      <c r="C78" s="94" t="s">
        <v>894</v>
      </c>
      <c r="D78" s="149" t="s">
        <v>7</v>
      </c>
      <c r="E78" s="101">
        <v>2018</v>
      </c>
      <c r="F78" s="102">
        <v>43</v>
      </c>
      <c r="G78" s="121" t="s">
        <v>908</v>
      </c>
      <c r="H78" s="580" t="s">
        <v>1068</v>
      </c>
      <c r="I78" s="600">
        <v>3000</v>
      </c>
      <c r="J78" s="594" t="s">
        <v>9</v>
      </c>
      <c r="K78" s="99">
        <v>1</v>
      </c>
      <c r="L78" s="91">
        <v>10</v>
      </c>
      <c r="M78" s="113">
        <v>86</v>
      </c>
      <c r="N78" s="128" t="str">
        <f>VLOOKUP(M78,'PF Uscite Sp. Corr.'!$C$1:$E$100,2,FALSE)</f>
        <v>Premi di assicurazione contro i danni</v>
      </c>
      <c r="O78" s="132">
        <v>1112</v>
      </c>
      <c r="P78" s="613" t="str">
        <f>VLOOKUP(O78,'Centri di Costo'!$A$2:$B$179,2,FALSE)</f>
        <v>Att. Ord. Az. Diana - Vigneto</v>
      </c>
      <c r="Q78" s="623" t="s">
        <v>1996</v>
      </c>
      <c r="R78" s="639" t="s">
        <v>163</v>
      </c>
    </row>
    <row r="79" spans="1:18" ht="28.5" customHeight="1" outlineLevel="2">
      <c r="A79" s="85" t="s">
        <v>588</v>
      </c>
      <c r="B79" s="401" t="s">
        <v>1858</v>
      </c>
      <c r="C79" s="85" t="s">
        <v>894</v>
      </c>
      <c r="D79" s="148" t="s">
        <v>7</v>
      </c>
      <c r="E79" s="87">
        <v>2018</v>
      </c>
      <c r="F79" s="88">
        <v>49</v>
      </c>
      <c r="G79" s="120" t="s">
        <v>909</v>
      </c>
      <c r="H79" s="581" t="s">
        <v>1069</v>
      </c>
      <c r="I79" s="601">
        <v>690</v>
      </c>
      <c r="J79" s="595" t="s">
        <v>9</v>
      </c>
      <c r="K79" s="91">
        <v>1</v>
      </c>
      <c r="L79" s="91">
        <v>10</v>
      </c>
      <c r="M79" s="92">
        <v>86</v>
      </c>
      <c r="N79" s="119" t="str">
        <f>VLOOKUP(M79,'PF Uscite Sp. Corr.'!$C$1:$E$100,2,FALSE)</f>
        <v>Premi di assicurazione contro i danni</v>
      </c>
      <c r="O79" s="131">
        <v>1118</v>
      </c>
      <c r="P79" s="614" t="str">
        <f>VLOOKUP(O79,'Centri di Costo'!$A$2:$B$179,2,FALSE)</f>
        <v>Att. Ord. Az. Diana - Spese Generali</v>
      </c>
      <c r="Q79" s="623" t="s">
        <v>2014</v>
      </c>
      <c r="R79" s="642" t="s">
        <v>56</v>
      </c>
    </row>
    <row r="80" spans="1:18" s="139" customFormat="1" ht="28.5" customHeight="1" outlineLevel="2">
      <c r="A80" s="115" t="s">
        <v>588</v>
      </c>
      <c r="B80" s="401" t="s">
        <v>1858</v>
      </c>
      <c r="C80" s="115" t="s">
        <v>894</v>
      </c>
      <c r="D80" s="417" t="s">
        <v>7</v>
      </c>
      <c r="E80" s="412">
        <v>2018</v>
      </c>
      <c r="F80" s="413">
        <v>49</v>
      </c>
      <c r="G80" s="123" t="s">
        <v>909</v>
      </c>
      <c r="H80" s="583" t="s">
        <v>1069</v>
      </c>
      <c r="I80" s="603">
        <v>3960</v>
      </c>
      <c r="J80" s="596" t="s">
        <v>9</v>
      </c>
      <c r="K80" s="216">
        <v>1</v>
      </c>
      <c r="L80" s="216">
        <v>10</v>
      </c>
      <c r="M80" s="418">
        <v>86</v>
      </c>
      <c r="N80" s="118" t="str">
        <f>VLOOKUP(M80,'PF Uscite Sp. Corr.'!$C$1:$E$100,2,FALSE)</f>
        <v>Premi di assicurazione contro i danni</v>
      </c>
      <c r="O80" s="419">
        <v>1118</v>
      </c>
      <c r="P80" s="615" t="str">
        <f>VLOOKUP(O80,'Centri di Costo'!$A$2:$B$179,2,FALSE)</f>
        <v>Att. Ord. Az. Diana - Spese Generali</v>
      </c>
      <c r="Q80" s="623" t="s">
        <v>2014</v>
      </c>
      <c r="R80" s="648" t="s">
        <v>59</v>
      </c>
    </row>
    <row r="81" spans="1:18" s="215" customFormat="1" ht="20.25" customHeight="1" outlineLevel="1" collapsed="1">
      <c r="A81" s="160"/>
      <c r="B81" s="433" t="s">
        <v>1893</v>
      </c>
      <c r="C81" s="161"/>
      <c r="D81" s="437"/>
      <c r="E81" s="438"/>
      <c r="F81" s="438"/>
      <c r="G81" s="441" t="s">
        <v>1938</v>
      </c>
      <c r="H81" s="214" t="s">
        <v>1939</v>
      </c>
      <c r="I81" s="605">
        <f>SUBTOTAL(9,I20:I80)</f>
        <v>255050</v>
      </c>
      <c r="J81" s="212"/>
      <c r="K81" s="179"/>
      <c r="L81" s="179"/>
      <c r="M81" s="213"/>
      <c r="N81" s="434"/>
      <c r="O81" s="439"/>
      <c r="P81" s="435"/>
      <c r="Q81" s="620"/>
      <c r="R81" s="645"/>
    </row>
    <row r="82" spans="1:18" ht="28.5" customHeight="1" outlineLevel="2">
      <c r="A82" s="94" t="s">
        <v>588</v>
      </c>
      <c r="B82" s="404" t="s">
        <v>1859</v>
      </c>
      <c r="C82" s="94" t="s">
        <v>894</v>
      </c>
      <c r="D82" s="149" t="s">
        <v>7</v>
      </c>
      <c r="E82" s="101">
        <v>2018</v>
      </c>
      <c r="F82" s="102">
        <v>51</v>
      </c>
      <c r="G82" s="121" t="s">
        <v>938</v>
      </c>
      <c r="H82" s="580" t="s">
        <v>1088</v>
      </c>
      <c r="I82" s="600">
        <v>70000</v>
      </c>
      <c r="J82" s="594" t="s">
        <v>9</v>
      </c>
      <c r="K82" s="99">
        <v>1</v>
      </c>
      <c r="L82" s="99">
        <v>1</v>
      </c>
      <c r="M82" s="209" t="s">
        <v>1532</v>
      </c>
      <c r="N82" s="577" t="str">
        <f>VLOOKUP(M82,'PF Uscite Sp. Corr.'!$C$1:$E$100,2,FALSE)</f>
        <v>Salari, Oneri Sociali, Acc. TFR, Buoni Pasto (e IRAP su retribuz. se dovuta) OTI</v>
      </c>
      <c r="O82" s="132">
        <v>1128</v>
      </c>
      <c r="P82" s="613" t="str">
        <f>VLOOKUP(O82,'Centri di Costo'!$A$2:$B$179,2,FALSE)</f>
        <v>Att. Ord. Az. Sasse - Spese Generali</v>
      </c>
      <c r="Q82" s="621" t="s">
        <v>1998</v>
      </c>
      <c r="R82" s="639" t="s">
        <v>427</v>
      </c>
    </row>
    <row r="83" spans="1:18" ht="28.5" customHeight="1" outlineLevel="2">
      <c r="A83" s="85" t="s">
        <v>588</v>
      </c>
      <c r="B83" s="401" t="s">
        <v>1859</v>
      </c>
      <c r="C83" s="85" t="s">
        <v>894</v>
      </c>
      <c r="D83" s="148" t="s">
        <v>7</v>
      </c>
      <c r="E83" s="87">
        <v>2018</v>
      </c>
      <c r="F83" s="88">
        <v>33</v>
      </c>
      <c r="G83" s="120" t="s">
        <v>940</v>
      </c>
      <c r="H83" s="581" t="s">
        <v>1087</v>
      </c>
      <c r="I83" s="601">
        <v>36000</v>
      </c>
      <c r="J83" s="595" t="s">
        <v>9</v>
      </c>
      <c r="K83" s="91">
        <v>1</v>
      </c>
      <c r="L83" s="91">
        <v>1</v>
      </c>
      <c r="M83" s="519" t="s">
        <v>1532</v>
      </c>
      <c r="N83" s="578" t="str">
        <f>VLOOKUP(M83,'PF Uscite Sp. Corr.'!$C$1:$E$100,2,FALSE)</f>
        <v>Salari, Oneri Sociali, Acc. TFR, Buoni Pasto (e IRAP su retribuz. se dovuta) OTI</v>
      </c>
      <c r="O83" s="131">
        <v>1128</v>
      </c>
      <c r="P83" s="614" t="str">
        <f>VLOOKUP(O83,'Centri di Costo'!$A$2:$B$179,2,FALSE)</f>
        <v>Att. Ord. Az. Sasse - Spese Generali</v>
      </c>
      <c r="Q83" s="621" t="s">
        <v>1998</v>
      </c>
      <c r="R83" s="642" t="s">
        <v>427</v>
      </c>
    </row>
    <row r="84" spans="1:18" ht="28.5" customHeight="1" outlineLevel="2">
      <c r="A84" s="85" t="s">
        <v>588</v>
      </c>
      <c r="B84" s="401" t="s">
        <v>1859</v>
      </c>
      <c r="C84" s="85" t="s">
        <v>894</v>
      </c>
      <c r="D84" s="148" t="s">
        <v>7</v>
      </c>
      <c r="E84" s="87">
        <v>2018</v>
      </c>
      <c r="F84" s="88">
        <v>51</v>
      </c>
      <c r="G84" s="120" t="s">
        <v>938</v>
      </c>
      <c r="H84" s="581" t="s">
        <v>1081</v>
      </c>
      <c r="I84" s="601">
        <v>40000</v>
      </c>
      <c r="J84" s="595" t="s">
        <v>9</v>
      </c>
      <c r="K84" s="91">
        <v>1</v>
      </c>
      <c r="L84" s="91">
        <v>1</v>
      </c>
      <c r="M84" s="232" t="s">
        <v>1530</v>
      </c>
      <c r="N84" s="578" t="str">
        <f>VLOOKUP(M84,'PF Uscite Sp. Corr.'!$C$1:$E$100,2,FALSE)</f>
        <v>Salari, Oneri Sociali, Acc. TFR, Buoni Pasto (e IRAP su retribuz. se dovuta) OTD</v>
      </c>
      <c r="O84" s="131">
        <v>1128</v>
      </c>
      <c r="P84" s="614" t="str">
        <f>VLOOKUP(O84,'Centri di Costo'!$A$2:$B$179,2,FALSE)</f>
        <v>Att. Ord. Az. Sasse - Spese Generali</v>
      </c>
      <c r="Q84" s="621" t="s">
        <v>1998</v>
      </c>
      <c r="R84" s="642" t="s">
        <v>484</v>
      </c>
    </row>
    <row r="85" spans="1:18" ht="28.5" customHeight="1" outlineLevel="2">
      <c r="A85" s="85" t="s">
        <v>588</v>
      </c>
      <c r="B85" s="401" t="s">
        <v>1859</v>
      </c>
      <c r="C85" s="85" t="s">
        <v>894</v>
      </c>
      <c r="D85" s="148" t="s">
        <v>7</v>
      </c>
      <c r="E85" s="87">
        <v>2018</v>
      </c>
      <c r="F85" s="88">
        <v>51</v>
      </c>
      <c r="G85" s="120" t="s">
        <v>938</v>
      </c>
      <c r="H85" s="581" t="s">
        <v>1082</v>
      </c>
      <c r="I85" s="601">
        <v>2500</v>
      </c>
      <c r="J85" s="595" t="s">
        <v>9</v>
      </c>
      <c r="K85" s="91">
        <v>1</v>
      </c>
      <c r="L85" s="91">
        <v>1</v>
      </c>
      <c r="M85" s="232" t="s">
        <v>1530</v>
      </c>
      <c r="N85" s="578" t="str">
        <f>VLOOKUP(M85,'PF Uscite Sp. Corr.'!$C$1:$E$100,2,FALSE)</f>
        <v>Salari, Oneri Sociali, Acc. TFR, Buoni Pasto (e IRAP su retribuz. se dovuta) OTD</v>
      </c>
      <c r="O85" s="131">
        <v>1128</v>
      </c>
      <c r="P85" s="614" t="str">
        <f>VLOOKUP(O85,'Centri di Costo'!$A$2:$B$179,2,FALSE)</f>
        <v>Att. Ord. Az. Sasse - Spese Generali</v>
      </c>
      <c r="Q85" s="621" t="s">
        <v>1998</v>
      </c>
      <c r="R85" s="642" t="s">
        <v>484</v>
      </c>
    </row>
    <row r="86" spans="1:18" ht="28.5" customHeight="1" outlineLevel="2">
      <c r="A86" s="94" t="s">
        <v>588</v>
      </c>
      <c r="B86" s="401" t="s">
        <v>1859</v>
      </c>
      <c r="C86" s="94" t="s">
        <v>894</v>
      </c>
      <c r="D86" s="149" t="s">
        <v>7</v>
      </c>
      <c r="E86" s="101">
        <v>2018</v>
      </c>
      <c r="F86" s="102">
        <v>53</v>
      </c>
      <c r="G86" s="121" t="s">
        <v>939</v>
      </c>
      <c r="H86" s="580" t="s">
        <v>1083</v>
      </c>
      <c r="I86" s="600">
        <v>48000</v>
      </c>
      <c r="J86" s="594" t="s">
        <v>9</v>
      </c>
      <c r="K86" s="99">
        <v>1</v>
      </c>
      <c r="L86" s="99">
        <v>1</v>
      </c>
      <c r="M86" s="517" t="s">
        <v>1530</v>
      </c>
      <c r="N86" s="577" t="str">
        <f>VLOOKUP(M86,'PF Uscite Sp. Corr.'!$C$1:$E$100,2,FALSE)</f>
        <v>Salari, Oneri Sociali, Acc. TFR, Buoni Pasto (e IRAP su retribuz. se dovuta) OTD</v>
      </c>
      <c r="O86" s="132">
        <v>1128</v>
      </c>
      <c r="P86" s="613" t="str">
        <f>VLOOKUP(O86,'Centri di Costo'!$A$2:$B$179,2,FALSE)</f>
        <v>Att. Ord. Az. Sasse - Spese Generali</v>
      </c>
      <c r="Q86" s="621" t="s">
        <v>1998</v>
      </c>
      <c r="R86" s="639" t="s">
        <v>484</v>
      </c>
    </row>
    <row r="87" spans="1:18" ht="28.5" customHeight="1" outlineLevel="2">
      <c r="A87" s="95" t="s">
        <v>588</v>
      </c>
      <c r="B87" s="401" t="s">
        <v>1859</v>
      </c>
      <c r="C87" s="95" t="s">
        <v>894</v>
      </c>
      <c r="D87" s="458" t="s">
        <v>7</v>
      </c>
      <c r="E87" s="520">
        <v>2018</v>
      </c>
      <c r="F87" s="521">
        <v>107</v>
      </c>
      <c r="G87" s="122" t="s">
        <v>896</v>
      </c>
      <c r="H87" s="586" t="s">
        <v>1065</v>
      </c>
      <c r="I87" s="607">
        <f>2000+1800-1000</f>
        <v>2800</v>
      </c>
      <c r="J87" s="595" t="s">
        <v>9</v>
      </c>
      <c r="K87" s="91">
        <v>1</v>
      </c>
      <c r="L87" s="91">
        <v>1</v>
      </c>
      <c r="M87" s="232" t="s">
        <v>1530</v>
      </c>
      <c r="N87" s="578" t="str">
        <f>VLOOKUP(M87,'PF Uscite Sp. Corr.'!$C$1:$E$100,2,FALSE)</f>
        <v>Salari, Oneri Sociali, Acc. TFR, Buoni Pasto (e IRAP su retribuz. se dovuta) OTD</v>
      </c>
      <c r="O87" s="131">
        <v>1128</v>
      </c>
      <c r="P87" s="614" t="str">
        <f>VLOOKUP(O87,'Centri di Costo'!$A$2:$B$179,2,FALSE)</f>
        <v>Att. Ord. Az. Sasse - Spese Generali</v>
      </c>
      <c r="Q87" s="621" t="s">
        <v>1998</v>
      </c>
      <c r="R87" s="649" t="s">
        <v>484</v>
      </c>
    </row>
    <row r="88" spans="1:18" ht="38.25" customHeight="1" outlineLevel="2">
      <c r="A88" s="85" t="s">
        <v>588</v>
      </c>
      <c r="B88" s="401" t="s">
        <v>1859</v>
      </c>
      <c r="C88" s="85" t="s">
        <v>894</v>
      </c>
      <c r="D88" s="148" t="s">
        <v>7</v>
      </c>
      <c r="E88" s="87">
        <v>2018</v>
      </c>
      <c r="F88" s="88">
        <v>104</v>
      </c>
      <c r="G88" s="120" t="s">
        <v>897</v>
      </c>
      <c r="H88" s="581" t="s">
        <v>1067</v>
      </c>
      <c r="I88" s="601">
        <v>2000</v>
      </c>
      <c r="J88" s="595" t="s">
        <v>9</v>
      </c>
      <c r="K88" s="91">
        <v>1</v>
      </c>
      <c r="L88" s="91">
        <v>1</v>
      </c>
      <c r="M88" s="232" t="s">
        <v>1530</v>
      </c>
      <c r="N88" s="578" t="str">
        <f>VLOOKUP(M88,'PF Uscite Sp. Corr.'!$C$1:$E$100,2,FALSE)</f>
        <v>Salari, Oneri Sociali, Acc. TFR, Buoni Pasto (e IRAP su retribuz. se dovuta) OTD</v>
      </c>
      <c r="O88" s="131">
        <v>1128</v>
      </c>
      <c r="P88" s="614" t="str">
        <f>VLOOKUP(O88,'Centri di Costo'!$A$2:$B$179,2,FALSE)</f>
        <v>Att. Ord. Az. Sasse - Spese Generali</v>
      </c>
      <c r="Q88" s="621" t="s">
        <v>1998</v>
      </c>
      <c r="R88" s="642" t="s">
        <v>484</v>
      </c>
    </row>
    <row r="89" spans="1:18" ht="28.5" customHeight="1" outlineLevel="2">
      <c r="A89" s="85" t="s">
        <v>588</v>
      </c>
      <c r="B89" s="401" t="s">
        <v>1859</v>
      </c>
      <c r="C89" s="85" t="s">
        <v>894</v>
      </c>
      <c r="D89" s="148" t="s">
        <v>7</v>
      </c>
      <c r="E89" s="87">
        <v>2018</v>
      </c>
      <c r="F89" s="88">
        <v>272</v>
      </c>
      <c r="G89" s="120" t="s">
        <v>943</v>
      </c>
      <c r="H89" s="581" t="s">
        <v>476</v>
      </c>
      <c r="I89" s="601">
        <v>1000</v>
      </c>
      <c r="J89" s="595" t="s">
        <v>9</v>
      </c>
      <c r="K89" s="91">
        <v>1</v>
      </c>
      <c r="L89" s="91">
        <v>2</v>
      </c>
      <c r="M89" s="92">
        <v>16</v>
      </c>
      <c r="N89" s="119" t="str">
        <f>VLOOKUP(M89,'PF Uscite Sp. Corr.'!$C$1:$E$100,2,FALSE)</f>
        <v>Tassa e/o tariffa smaltimento rifiuti solidi urbani</v>
      </c>
      <c r="O89" s="131">
        <v>1128</v>
      </c>
      <c r="P89" s="614" t="str">
        <f>VLOOKUP(O89,'Centri di Costo'!$A$2:$B$179,2,FALSE)</f>
        <v>Att. Ord. Az. Sasse - Spese Generali</v>
      </c>
      <c r="Q89" s="622" t="s">
        <v>1844</v>
      </c>
      <c r="R89" s="642" t="s">
        <v>71</v>
      </c>
    </row>
    <row r="90" spans="1:18" ht="28.5" customHeight="1" outlineLevel="2">
      <c r="A90" s="85" t="s">
        <v>588</v>
      </c>
      <c r="B90" s="401" t="s">
        <v>1859</v>
      </c>
      <c r="C90" s="85" t="s">
        <v>894</v>
      </c>
      <c r="D90" s="148" t="s">
        <v>7</v>
      </c>
      <c r="E90" s="87">
        <v>2018</v>
      </c>
      <c r="F90" s="88">
        <v>272</v>
      </c>
      <c r="G90" s="120" t="s">
        <v>943</v>
      </c>
      <c r="H90" s="581" t="s">
        <v>951</v>
      </c>
      <c r="I90" s="601">
        <v>500</v>
      </c>
      <c r="J90" s="595" t="s">
        <v>9</v>
      </c>
      <c r="K90" s="91">
        <v>1</v>
      </c>
      <c r="L90" s="91">
        <v>2</v>
      </c>
      <c r="M90" s="92">
        <v>19</v>
      </c>
      <c r="N90" s="119" t="str">
        <f>VLOOKUP(M90,'PF Uscite Sp. Corr.'!$C$1:$E$100,2,FALSE)</f>
        <v>Tassa di circolazione dei veicoli a motore (tassa automobilistica)</v>
      </c>
      <c r="O90" s="131">
        <v>1128</v>
      </c>
      <c r="P90" s="614" t="str">
        <f>VLOOKUP(O90,'Centri di Costo'!$A$2:$B$179,2,FALSE)</f>
        <v>Att. Ord. Az. Sasse - Spese Generali</v>
      </c>
      <c r="Q90" s="622" t="s">
        <v>1844</v>
      </c>
      <c r="R90" s="642" t="s">
        <v>132</v>
      </c>
    </row>
    <row r="91" spans="1:18" ht="28.5" customHeight="1" outlineLevel="2">
      <c r="A91" s="85" t="s">
        <v>588</v>
      </c>
      <c r="B91" s="401" t="s">
        <v>1859</v>
      </c>
      <c r="C91" s="85" t="s">
        <v>894</v>
      </c>
      <c r="D91" s="148" t="s">
        <v>7</v>
      </c>
      <c r="E91" s="87">
        <v>2018</v>
      </c>
      <c r="F91" s="88">
        <v>272</v>
      </c>
      <c r="G91" s="120" t="s">
        <v>943</v>
      </c>
      <c r="H91" s="581" t="s">
        <v>952</v>
      </c>
      <c r="I91" s="601">
        <v>14700</v>
      </c>
      <c r="J91" s="595" t="s">
        <v>9</v>
      </c>
      <c r="K91" s="91">
        <v>1</v>
      </c>
      <c r="L91" s="91">
        <v>2</v>
      </c>
      <c r="M91" s="92">
        <v>29</v>
      </c>
      <c r="N91" s="119" t="str">
        <f>VLOOKUP(M91,'PF Uscite Sp. Corr.'!$C$1:$E$100,2,FALSE)</f>
        <v>Imposte, tasse e proventi assimilati a carico dell'ente n.a.c.</v>
      </c>
      <c r="O91" s="131">
        <v>1128</v>
      </c>
      <c r="P91" s="614" t="str">
        <f>VLOOKUP(O91,'Centri di Costo'!$A$2:$B$179,2,FALSE)</f>
        <v>Att. Ord. Az. Sasse - Spese Generali</v>
      </c>
      <c r="Q91" s="622" t="s">
        <v>1844</v>
      </c>
      <c r="R91" s="642" t="s">
        <v>49</v>
      </c>
    </row>
    <row r="92" spans="1:18" ht="28.5" customHeight="1" outlineLevel="2">
      <c r="A92" s="85" t="s">
        <v>588</v>
      </c>
      <c r="B92" s="401" t="s">
        <v>1859</v>
      </c>
      <c r="C92" s="85" t="s">
        <v>894</v>
      </c>
      <c r="D92" s="148" t="s">
        <v>7</v>
      </c>
      <c r="E92" s="87">
        <v>2018</v>
      </c>
      <c r="F92" s="88">
        <v>272</v>
      </c>
      <c r="G92" s="120" t="s">
        <v>943</v>
      </c>
      <c r="H92" s="581" t="s">
        <v>953</v>
      </c>
      <c r="I92" s="601">
        <v>200</v>
      </c>
      <c r="J92" s="595" t="s">
        <v>9</v>
      </c>
      <c r="K92" s="91">
        <v>1</v>
      </c>
      <c r="L92" s="91">
        <v>3</v>
      </c>
      <c r="M92" s="92">
        <v>31</v>
      </c>
      <c r="N92" s="119" t="str">
        <f>VLOOKUP(M92,'PF Uscite Sp. Corr.'!$C$1:$E$100,2,FALSE)</f>
        <v>Giornali, riviste e pubblicazioni</v>
      </c>
      <c r="O92" s="131">
        <v>1128</v>
      </c>
      <c r="P92" s="614" t="str">
        <f>VLOOKUP(O92,'Centri di Costo'!$A$2:$B$179,2,FALSE)</f>
        <v>Att. Ord. Az. Sasse - Spese Generali</v>
      </c>
      <c r="Q92" s="619" t="s">
        <v>1996</v>
      </c>
      <c r="R92" s="642" t="s">
        <v>256</v>
      </c>
    </row>
    <row r="93" spans="1:18" ht="28.5" customHeight="1" outlineLevel="2">
      <c r="A93" s="85" t="s">
        <v>588</v>
      </c>
      <c r="B93" s="401" t="s">
        <v>1859</v>
      </c>
      <c r="C93" s="85" t="s">
        <v>894</v>
      </c>
      <c r="D93" s="148" t="s">
        <v>7</v>
      </c>
      <c r="E93" s="87">
        <v>2018</v>
      </c>
      <c r="F93" s="88">
        <v>51</v>
      </c>
      <c r="G93" s="120" t="s">
        <v>938</v>
      </c>
      <c r="H93" s="581" t="s">
        <v>1542</v>
      </c>
      <c r="I93" s="601">
        <v>88000</v>
      </c>
      <c r="J93" s="595" t="s">
        <v>9</v>
      </c>
      <c r="K93" s="91">
        <v>1</v>
      </c>
      <c r="L93" s="91">
        <v>3</v>
      </c>
      <c r="M93" s="92">
        <v>32</v>
      </c>
      <c r="N93" s="119" t="str">
        <f>VLOOKUP(M93,'PF Uscite Sp. Corr.'!$C$1:$E$100,2,FALSE)</f>
        <v>Altri beni di consumo</v>
      </c>
      <c r="O93" s="131">
        <v>1121</v>
      </c>
      <c r="P93" s="614" t="str">
        <f>VLOOKUP(O93,'Centri di Costo'!$A$2:$B$179,2,FALSE)</f>
        <v>Att. Ord. Az. Sasse - Seminativi</v>
      </c>
      <c r="Q93" s="619" t="s">
        <v>1996</v>
      </c>
      <c r="R93" s="642" t="s">
        <v>324</v>
      </c>
    </row>
    <row r="94" spans="1:18" ht="28.5" customHeight="1" outlineLevel="2">
      <c r="A94" s="85" t="s">
        <v>588</v>
      </c>
      <c r="B94" s="401" t="s">
        <v>1859</v>
      </c>
      <c r="C94" s="85" t="s">
        <v>894</v>
      </c>
      <c r="D94" s="148" t="s">
        <v>7</v>
      </c>
      <c r="E94" s="87">
        <v>2018</v>
      </c>
      <c r="F94" s="88">
        <v>51</v>
      </c>
      <c r="G94" s="120" t="s">
        <v>938</v>
      </c>
      <c r="H94" s="581" t="s">
        <v>1543</v>
      </c>
      <c r="I94" s="601">
        <v>32000</v>
      </c>
      <c r="J94" s="595" t="s">
        <v>9</v>
      </c>
      <c r="K94" s="91">
        <v>1</v>
      </c>
      <c r="L94" s="91">
        <v>3</v>
      </c>
      <c r="M94" s="92">
        <v>32</v>
      </c>
      <c r="N94" s="119" t="str">
        <f>VLOOKUP(M94,'PF Uscite Sp. Corr.'!$C$1:$E$100,2,FALSE)</f>
        <v>Altri beni di consumo</v>
      </c>
      <c r="O94" s="131">
        <v>1121</v>
      </c>
      <c r="P94" s="614" t="str">
        <f>VLOOKUP(O94,'Centri di Costo'!$A$2:$B$179,2,FALSE)</f>
        <v>Att. Ord. Az. Sasse - Seminativi</v>
      </c>
      <c r="Q94" s="619" t="s">
        <v>1996</v>
      </c>
      <c r="R94" s="642" t="s">
        <v>73</v>
      </c>
    </row>
    <row r="95" spans="1:18" ht="28.5" customHeight="1" outlineLevel="2">
      <c r="A95" s="85" t="s">
        <v>588</v>
      </c>
      <c r="B95" s="401" t="s">
        <v>1859</v>
      </c>
      <c r="C95" s="85" t="s">
        <v>894</v>
      </c>
      <c r="D95" s="148" t="s">
        <v>7</v>
      </c>
      <c r="E95" s="87">
        <v>2018</v>
      </c>
      <c r="F95" s="88">
        <v>51</v>
      </c>
      <c r="G95" s="120" t="s">
        <v>938</v>
      </c>
      <c r="H95" s="581" t="s">
        <v>1544</v>
      </c>
      <c r="I95" s="601">
        <v>679</v>
      </c>
      <c r="J95" s="595" t="s">
        <v>9</v>
      </c>
      <c r="K95" s="91">
        <v>1</v>
      </c>
      <c r="L95" s="91">
        <v>3</v>
      </c>
      <c r="M95" s="91">
        <v>32</v>
      </c>
      <c r="N95" s="119" t="str">
        <f>VLOOKUP(M95,'PF Uscite Sp. Corr.'!$C$1:$E$100,2,FALSE)</f>
        <v>Altri beni di consumo</v>
      </c>
      <c r="O95" s="131">
        <v>1121</v>
      </c>
      <c r="P95" s="614" t="str">
        <f>VLOOKUP(O95,'Centri di Costo'!$A$2:$B$179,2,FALSE)</f>
        <v>Att. Ord. Az. Sasse - Seminativi</v>
      </c>
      <c r="Q95" s="619" t="s">
        <v>1996</v>
      </c>
      <c r="R95" s="642"/>
    </row>
    <row r="96" spans="1:18" ht="43.5" customHeight="1" outlineLevel="2">
      <c r="A96" s="85" t="s">
        <v>588</v>
      </c>
      <c r="B96" s="401" t="s">
        <v>1859</v>
      </c>
      <c r="C96" s="85" t="s">
        <v>894</v>
      </c>
      <c r="D96" s="148" t="s">
        <v>7</v>
      </c>
      <c r="E96" s="87">
        <v>2018</v>
      </c>
      <c r="F96" s="88">
        <v>104</v>
      </c>
      <c r="G96" s="120" t="s">
        <v>897</v>
      </c>
      <c r="H96" s="581" t="s">
        <v>1062</v>
      </c>
      <c r="I96" s="601">
        <f>1600-800</f>
        <v>800</v>
      </c>
      <c r="J96" s="595" t="s">
        <v>9</v>
      </c>
      <c r="K96" s="91">
        <v>1</v>
      </c>
      <c r="L96" s="91">
        <v>3</v>
      </c>
      <c r="M96" s="92">
        <v>32</v>
      </c>
      <c r="N96" s="119" t="str">
        <f>VLOOKUP(M96,'PF Uscite Sp. Corr.'!$C$1:$E$100,2,FALSE)</f>
        <v>Altri beni di consumo</v>
      </c>
      <c r="O96" s="131">
        <v>1121</v>
      </c>
      <c r="P96" s="614" t="str">
        <f>VLOOKUP(O96,'Centri di Costo'!$A$2:$B$179,2,FALSE)</f>
        <v>Att. Ord. Az. Sasse - Seminativi</v>
      </c>
      <c r="Q96" s="619" t="s">
        <v>1996</v>
      </c>
      <c r="R96" s="642" t="s">
        <v>807</v>
      </c>
    </row>
    <row r="97" spans="1:18" ht="28.5" customHeight="1" outlineLevel="2">
      <c r="A97" s="85" t="s">
        <v>588</v>
      </c>
      <c r="B97" s="401" t="s">
        <v>1859</v>
      </c>
      <c r="C97" s="85" t="s">
        <v>894</v>
      </c>
      <c r="D97" s="148" t="s">
        <v>7</v>
      </c>
      <c r="E97" s="87">
        <v>2018</v>
      </c>
      <c r="F97" s="88">
        <v>53</v>
      </c>
      <c r="G97" s="120" t="s">
        <v>939</v>
      </c>
      <c r="H97" s="581" t="s">
        <v>1546</v>
      </c>
      <c r="I97" s="601">
        <v>4000</v>
      </c>
      <c r="J97" s="595" t="s">
        <v>9</v>
      </c>
      <c r="K97" s="91">
        <v>1</v>
      </c>
      <c r="L97" s="91">
        <v>3</v>
      </c>
      <c r="M97" s="92">
        <v>32</v>
      </c>
      <c r="N97" s="119" t="str">
        <f>VLOOKUP(M97,'PF Uscite Sp. Corr.'!$C$1:$E$100,2,FALSE)</f>
        <v>Altri beni di consumo</v>
      </c>
      <c r="O97" s="131">
        <v>1122</v>
      </c>
      <c r="P97" s="614" t="str">
        <f>VLOOKUP(O97,'Centri di Costo'!$A$2:$B$179,2,FALSE)</f>
        <v>Att. Ord. Az. Sasse - Frutteto</v>
      </c>
      <c r="Q97" s="619" t="s">
        <v>1996</v>
      </c>
      <c r="R97" s="642" t="s">
        <v>324</v>
      </c>
    </row>
    <row r="98" spans="1:18" ht="28.5" customHeight="1" outlineLevel="2">
      <c r="A98" s="85" t="s">
        <v>588</v>
      </c>
      <c r="B98" s="401" t="s">
        <v>1859</v>
      </c>
      <c r="C98" s="85" t="s">
        <v>894</v>
      </c>
      <c r="D98" s="148" t="s">
        <v>7</v>
      </c>
      <c r="E98" s="87">
        <v>2018</v>
      </c>
      <c r="F98" s="88">
        <v>33</v>
      </c>
      <c r="G98" s="120" t="s">
        <v>940</v>
      </c>
      <c r="H98" s="581" t="s">
        <v>1537</v>
      </c>
      <c r="I98" s="601">
        <v>26800</v>
      </c>
      <c r="J98" s="595" t="s">
        <v>9</v>
      </c>
      <c r="K98" s="91">
        <v>1</v>
      </c>
      <c r="L98" s="91">
        <v>3</v>
      </c>
      <c r="M98" s="92">
        <v>32</v>
      </c>
      <c r="N98" s="119" t="str">
        <f>VLOOKUP(M98,'PF Uscite Sp. Corr.'!$C$1:$E$100,2,FALSE)</f>
        <v>Altri beni di consumo</v>
      </c>
      <c r="O98" s="131">
        <v>1124</v>
      </c>
      <c r="P98" s="614" t="str">
        <f>VLOOKUP(O98,'Centri di Costo'!$A$2:$B$179,2,FALSE)</f>
        <v>Att. Ord. Az. Sasse - Allevam. Avicoli</v>
      </c>
      <c r="Q98" s="619" t="s">
        <v>1996</v>
      </c>
      <c r="R98" s="642" t="s">
        <v>449</v>
      </c>
    </row>
    <row r="99" spans="1:18" ht="28.5" customHeight="1" outlineLevel="2">
      <c r="A99" s="85" t="s">
        <v>588</v>
      </c>
      <c r="B99" s="401" t="s">
        <v>1859</v>
      </c>
      <c r="C99" s="85" t="s">
        <v>894</v>
      </c>
      <c r="D99" s="148" t="s">
        <v>7</v>
      </c>
      <c r="E99" s="87">
        <v>2018</v>
      </c>
      <c r="F99" s="88">
        <v>33</v>
      </c>
      <c r="G99" s="120" t="s">
        <v>940</v>
      </c>
      <c r="H99" s="581" t="s">
        <v>1538</v>
      </c>
      <c r="I99" s="601">
        <v>4000</v>
      </c>
      <c r="J99" s="595" t="s">
        <v>9</v>
      </c>
      <c r="K99" s="91">
        <v>1</v>
      </c>
      <c r="L99" s="91">
        <v>3</v>
      </c>
      <c r="M99" s="92">
        <v>32</v>
      </c>
      <c r="N99" s="119" t="str">
        <f>VLOOKUP(M99,'PF Uscite Sp. Corr.'!$C$1:$E$100,2,FALSE)</f>
        <v>Altri beni di consumo</v>
      </c>
      <c r="O99" s="131">
        <v>1124</v>
      </c>
      <c r="P99" s="614" t="str">
        <f>VLOOKUP(O99,'Centri di Costo'!$A$2:$B$179,2,FALSE)</f>
        <v>Att. Ord. Az. Sasse - Allevam. Avicoli</v>
      </c>
      <c r="Q99" s="619" t="s">
        <v>1996</v>
      </c>
      <c r="R99" s="642" t="s">
        <v>81</v>
      </c>
    </row>
    <row r="100" spans="1:18" ht="28.5" customHeight="1" outlineLevel="2">
      <c r="A100" s="85" t="s">
        <v>588</v>
      </c>
      <c r="B100" s="401" t="s">
        <v>1859</v>
      </c>
      <c r="C100" s="85" t="s">
        <v>894</v>
      </c>
      <c r="D100" s="148" t="s">
        <v>7</v>
      </c>
      <c r="E100" s="87">
        <v>2018</v>
      </c>
      <c r="F100" s="88">
        <v>272</v>
      </c>
      <c r="G100" s="120" t="s">
        <v>943</v>
      </c>
      <c r="H100" s="581" t="s">
        <v>950</v>
      </c>
      <c r="I100" s="601">
        <v>3000</v>
      </c>
      <c r="J100" s="595" t="s">
        <v>9</v>
      </c>
      <c r="K100" s="91">
        <v>1</v>
      </c>
      <c r="L100" s="91">
        <v>3</v>
      </c>
      <c r="M100" s="92">
        <v>32</v>
      </c>
      <c r="N100" s="119" t="str">
        <f>VLOOKUP(M100,'PF Uscite Sp. Corr.'!$C$1:$E$100,2,FALSE)</f>
        <v>Altri beni di consumo</v>
      </c>
      <c r="O100" s="131">
        <v>1128</v>
      </c>
      <c r="P100" s="614" t="str">
        <f>VLOOKUP(O100,'Centri di Costo'!$A$2:$B$179,2,FALSE)</f>
        <v>Att. Ord. Az. Sasse - Spese Generali</v>
      </c>
      <c r="Q100" s="619" t="s">
        <v>1996</v>
      </c>
      <c r="R100" s="642" t="s">
        <v>81</v>
      </c>
    </row>
    <row r="101" spans="1:18" ht="28.5" customHeight="1" outlineLevel="2">
      <c r="A101" s="85" t="s">
        <v>588</v>
      </c>
      <c r="B101" s="401" t="s">
        <v>1859</v>
      </c>
      <c r="C101" s="85" t="s">
        <v>894</v>
      </c>
      <c r="D101" s="148" t="s">
        <v>7</v>
      </c>
      <c r="E101" s="87">
        <v>2018</v>
      </c>
      <c r="F101" s="88">
        <v>272</v>
      </c>
      <c r="G101" s="120" t="s">
        <v>943</v>
      </c>
      <c r="H101" s="581" t="s">
        <v>193</v>
      </c>
      <c r="I101" s="601">
        <v>500</v>
      </c>
      <c r="J101" s="595" t="s">
        <v>9</v>
      </c>
      <c r="K101" s="91">
        <v>1</v>
      </c>
      <c r="L101" s="91">
        <v>3</v>
      </c>
      <c r="M101" s="92">
        <v>32</v>
      </c>
      <c r="N101" s="119" t="str">
        <f>VLOOKUP(M101,'PF Uscite Sp. Corr.'!$C$1:$E$100,2,FALSE)</f>
        <v>Altri beni di consumo</v>
      </c>
      <c r="O101" s="131">
        <v>1128</v>
      </c>
      <c r="P101" s="614" t="str">
        <f>VLOOKUP(O101,'Centri di Costo'!$A$2:$B$179,2,FALSE)</f>
        <v>Att. Ord. Az. Sasse - Spese Generali</v>
      </c>
      <c r="Q101" s="619" t="s">
        <v>1996</v>
      </c>
      <c r="R101" s="642" t="s">
        <v>72</v>
      </c>
    </row>
    <row r="102" spans="1:18" ht="28.5" customHeight="1" outlineLevel="2">
      <c r="A102" s="85" t="s">
        <v>588</v>
      </c>
      <c r="B102" s="401" t="s">
        <v>1859</v>
      </c>
      <c r="C102" s="85" t="s">
        <v>894</v>
      </c>
      <c r="D102" s="148" t="s">
        <v>7</v>
      </c>
      <c r="E102" s="87">
        <v>2018</v>
      </c>
      <c r="F102" s="88">
        <v>272</v>
      </c>
      <c r="G102" s="120" t="s">
        <v>943</v>
      </c>
      <c r="H102" s="581" t="s">
        <v>954</v>
      </c>
      <c r="I102" s="601">
        <v>1500</v>
      </c>
      <c r="J102" s="595" t="s">
        <v>9</v>
      </c>
      <c r="K102" s="91">
        <v>1</v>
      </c>
      <c r="L102" s="91">
        <v>3</v>
      </c>
      <c r="M102" s="92">
        <v>32</v>
      </c>
      <c r="N102" s="119" t="str">
        <f>VLOOKUP(M102,'PF Uscite Sp. Corr.'!$C$1:$E$100,2,FALSE)</f>
        <v>Altri beni di consumo</v>
      </c>
      <c r="O102" s="131">
        <v>1128</v>
      </c>
      <c r="P102" s="614" t="str">
        <f>VLOOKUP(O102,'Centri di Costo'!$A$2:$B$179,2,FALSE)</f>
        <v>Att. Ord. Az. Sasse - Spese Generali</v>
      </c>
      <c r="Q102" s="619" t="s">
        <v>1996</v>
      </c>
      <c r="R102" s="642" t="s">
        <v>434</v>
      </c>
    </row>
    <row r="103" spans="1:18" ht="28.5" customHeight="1" outlineLevel="2">
      <c r="A103" s="85" t="s">
        <v>588</v>
      </c>
      <c r="B103" s="401" t="s">
        <v>1859</v>
      </c>
      <c r="C103" s="85" t="s">
        <v>894</v>
      </c>
      <c r="D103" s="148" t="s">
        <v>7</v>
      </c>
      <c r="E103" s="87">
        <v>2018</v>
      </c>
      <c r="F103" s="88">
        <v>272</v>
      </c>
      <c r="G103" s="120" t="s">
        <v>943</v>
      </c>
      <c r="H103" s="581" t="s">
        <v>619</v>
      </c>
      <c r="I103" s="601">
        <v>500</v>
      </c>
      <c r="J103" s="595" t="s">
        <v>9</v>
      </c>
      <c r="K103" s="91">
        <v>1</v>
      </c>
      <c r="L103" s="91">
        <v>3</v>
      </c>
      <c r="M103" s="92">
        <v>32</v>
      </c>
      <c r="N103" s="119" t="str">
        <f>VLOOKUP(M103,'PF Uscite Sp. Corr.'!$C$1:$E$100,2,FALSE)</f>
        <v>Altri beni di consumo</v>
      </c>
      <c r="O103" s="131">
        <v>1128</v>
      </c>
      <c r="P103" s="614" t="str">
        <f>VLOOKUP(O103,'Centri di Costo'!$A$2:$B$179,2,FALSE)</f>
        <v>Att. Ord. Az. Sasse - Spese Generali</v>
      </c>
      <c r="Q103" s="619" t="s">
        <v>1996</v>
      </c>
      <c r="R103" s="642" t="s">
        <v>364</v>
      </c>
    </row>
    <row r="104" spans="1:18" ht="28.5" customHeight="1" outlineLevel="2">
      <c r="A104" s="85" t="s">
        <v>588</v>
      </c>
      <c r="B104" s="401" t="s">
        <v>1859</v>
      </c>
      <c r="C104" s="85" t="s">
        <v>894</v>
      </c>
      <c r="D104" s="148" t="s">
        <v>7</v>
      </c>
      <c r="E104" s="87">
        <v>2018</v>
      </c>
      <c r="F104" s="88">
        <v>272</v>
      </c>
      <c r="G104" s="120" t="s">
        <v>943</v>
      </c>
      <c r="H104" s="581" t="s">
        <v>649</v>
      </c>
      <c r="I104" s="601">
        <v>1500</v>
      </c>
      <c r="J104" s="595" t="s">
        <v>9</v>
      </c>
      <c r="K104" s="91">
        <v>1</v>
      </c>
      <c r="L104" s="91">
        <v>3</v>
      </c>
      <c r="M104" s="92">
        <v>32</v>
      </c>
      <c r="N104" s="119" t="str">
        <f>VLOOKUP(M104,'PF Uscite Sp. Corr.'!$C$1:$E$100,2,FALSE)</f>
        <v>Altri beni di consumo</v>
      </c>
      <c r="O104" s="131">
        <v>1128</v>
      </c>
      <c r="P104" s="614" t="str">
        <f>VLOOKUP(O104,'Centri di Costo'!$A$2:$B$179,2,FALSE)</f>
        <v>Att. Ord. Az. Sasse - Spese Generali</v>
      </c>
      <c r="Q104" s="619" t="s">
        <v>2014</v>
      </c>
      <c r="R104" s="642" t="s">
        <v>113</v>
      </c>
    </row>
    <row r="105" spans="1:18" ht="28.5" customHeight="1" outlineLevel="2">
      <c r="A105" s="85" t="s">
        <v>588</v>
      </c>
      <c r="B105" s="401" t="s">
        <v>1859</v>
      </c>
      <c r="C105" s="85" t="s">
        <v>894</v>
      </c>
      <c r="D105" s="148" t="s">
        <v>7</v>
      </c>
      <c r="E105" s="87">
        <v>2018</v>
      </c>
      <c r="F105" s="88">
        <v>272</v>
      </c>
      <c r="G105" s="120" t="s">
        <v>943</v>
      </c>
      <c r="H105" s="581" t="s">
        <v>957</v>
      </c>
      <c r="I105" s="601">
        <v>500</v>
      </c>
      <c r="J105" s="595" t="s">
        <v>9</v>
      </c>
      <c r="K105" s="91">
        <v>1</v>
      </c>
      <c r="L105" s="91">
        <v>3</v>
      </c>
      <c r="M105" s="92">
        <v>32</v>
      </c>
      <c r="N105" s="119" t="str">
        <f>VLOOKUP(M105,'PF Uscite Sp. Corr.'!$C$1:$E$100,2,FALSE)</f>
        <v>Altri beni di consumo</v>
      </c>
      <c r="O105" s="131">
        <v>1128</v>
      </c>
      <c r="P105" s="614" t="str">
        <f>VLOOKUP(O105,'Centri di Costo'!$A$2:$B$179,2,FALSE)</f>
        <v>Att. Ord. Az. Sasse - Spese Generali</v>
      </c>
      <c r="Q105" s="619" t="s">
        <v>1996</v>
      </c>
      <c r="R105" s="642" t="s">
        <v>499</v>
      </c>
    </row>
    <row r="106" spans="1:18" ht="28.5" customHeight="1" outlineLevel="2">
      <c r="A106" s="85" t="s">
        <v>588</v>
      </c>
      <c r="B106" s="401" t="s">
        <v>1859</v>
      </c>
      <c r="C106" s="85" t="s">
        <v>894</v>
      </c>
      <c r="D106" s="148" t="s">
        <v>7</v>
      </c>
      <c r="E106" s="87">
        <v>2018</v>
      </c>
      <c r="F106" s="88">
        <v>33</v>
      </c>
      <c r="G106" s="120" t="s">
        <v>940</v>
      </c>
      <c r="H106" s="581" t="s">
        <v>1993</v>
      </c>
      <c r="I106" s="601">
        <v>4000</v>
      </c>
      <c r="J106" s="595" t="s">
        <v>9</v>
      </c>
      <c r="K106" s="91">
        <v>1</v>
      </c>
      <c r="L106" s="91">
        <v>3</v>
      </c>
      <c r="M106" s="92">
        <v>35</v>
      </c>
      <c r="N106" s="119" t="str">
        <f>VLOOKUP(M106,'PF Uscite Sp. Corr.'!$C$1:$E$100,2,FALSE)</f>
        <v>Medicinali e altri beni di consumo sanitario</v>
      </c>
      <c r="O106" s="131">
        <v>1124</v>
      </c>
      <c r="P106" s="614" t="str">
        <f>VLOOKUP(O106,'Centri di Costo'!$A$2:$B$179,2,FALSE)</f>
        <v>Att. Ord. Az. Sasse - Allevam. Avicoli</v>
      </c>
      <c r="Q106" s="619" t="s">
        <v>1996</v>
      </c>
      <c r="R106" s="642" t="s">
        <v>466</v>
      </c>
    </row>
    <row r="107" spans="1:18" ht="28.5" customHeight="1" outlineLevel="2">
      <c r="A107" s="85" t="s">
        <v>588</v>
      </c>
      <c r="B107" s="401" t="s">
        <v>1859</v>
      </c>
      <c r="C107" s="85" t="s">
        <v>894</v>
      </c>
      <c r="D107" s="148" t="s">
        <v>7</v>
      </c>
      <c r="E107" s="87">
        <v>2018</v>
      </c>
      <c r="F107" s="88">
        <v>272</v>
      </c>
      <c r="G107" s="120" t="s">
        <v>943</v>
      </c>
      <c r="H107" s="581" t="s">
        <v>1608</v>
      </c>
      <c r="I107" s="601">
        <v>1000</v>
      </c>
      <c r="J107" s="595" t="s">
        <v>9</v>
      </c>
      <c r="K107" s="91">
        <v>1</v>
      </c>
      <c r="L107" s="91">
        <v>3</v>
      </c>
      <c r="M107" s="92">
        <v>42</v>
      </c>
      <c r="N107" s="119" t="str">
        <f>VLOOKUP(M107,'PF Uscite Sp. Corr.'!$C$1:$E$100,2,FALSE)</f>
        <v>Rimborso viaggio e Indennità di missione e trasferta</v>
      </c>
      <c r="O107" s="131">
        <v>1128</v>
      </c>
      <c r="P107" s="614" t="str">
        <f>VLOOKUP(O107,'Centri di Costo'!$A$2:$B$179,2,FALSE)</f>
        <v>Att. Ord. Az. Sasse - Spese Generali</v>
      </c>
      <c r="Q107" s="619" t="s">
        <v>1996</v>
      </c>
      <c r="R107" s="642"/>
    </row>
    <row r="108" spans="1:18" ht="28.5" customHeight="1" outlineLevel="2">
      <c r="A108" s="85" t="s">
        <v>588</v>
      </c>
      <c r="B108" s="401" t="s">
        <v>1859</v>
      </c>
      <c r="C108" s="85" t="s">
        <v>894</v>
      </c>
      <c r="D108" s="148" t="s">
        <v>7</v>
      </c>
      <c r="E108" s="87">
        <v>2018</v>
      </c>
      <c r="F108" s="88">
        <v>272</v>
      </c>
      <c r="G108" s="120" t="s">
        <v>943</v>
      </c>
      <c r="H108" s="581" t="s">
        <v>66</v>
      </c>
      <c r="I108" s="601">
        <v>2000</v>
      </c>
      <c r="J108" s="595" t="s">
        <v>9</v>
      </c>
      <c r="K108" s="91">
        <v>1</v>
      </c>
      <c r="L108" s="91">
        <v>3</v>
      </c>
      <c r="M108" s="92">
        <v>45</v>
      </c>
      <c r="N108" s="119" t="str">
        <f>VLOOKUP(M108,'PF Uscite Sp. Corr.'!$C$1:$E$100,2,FALSE)</f>
        <v>Utenze e canoni</v>
      </c>
      <c r="O108" s="131">
        <v>1128</v>
      </c>
      <c r="P108" s="614" t="str">
        <f>VLOOKUP(O108,'Centri di Costo'!$A$2:$B$179,2,FALSE)</f>
        <v>Att. Ord. Az. Sasse - Spese Generali</v>
      </c>
      <c r="Q108" s="619" t="s">
        <v>1996</v>
      </c>
      <c r="R108" s="642" t="s">
        <v>67</v>
      </c>
    </row>
    <row r="109" spans="1:18" ht="28.5" customHeight="1" outlineLevel="2">
      <c r="A109" s="85" t="s">
        <v>588</v>
      </c>
      <c r="B109" s="401" t="s">
        <v>1859</v>
      </c>
      <c r="C109" s="85" t="s">
        <v>894</v>
      </c>
      <c r="D109" s="148" t="s">
        <v>7</v>
      </c>
      <c r="E109" s="87">
        <v>2018</v>
      </c>
      <c r="F109" s="88">
        <v>272</v>
      </c>
      <c r="G109" s="120" t="s">
        <v>943</v>
      </c>
      <c r="H109" s="581" t="s">
        <v>64</v>
      </c>
      <c r="I109" s="601">
        <v>3000</v>
      </c>
      <c r="J109" s="595" t="s">
        <v>9</v>
      </c>
      <c r="K109" s="91">
        <v>1</v>
      </c>
      <c r="L109" s="91">
        <v>3</v>
      </c>
      <c r="M109" s="92">
        <v>45</v>
      </c>
      <c r="N109" s="119" t="str">
        <f>VLOOKUP(M109,'PF Uscite Sp. Corr.'!$C$1:$E$100,2,FALSE)</f>
        <v>Utenze e canoni</v>
      </c>
      <c r="O109" s="131">
        <v>1128</v>
      </c>
      <c r="P109" s="614" t="str">
        <f>VLOOKUP(O109,'Centri di Costo'!$A$2:$B$179,2,FALSE)</f>
        <v>Att. Ord. Az. Sasse - Spese Generali</v>
      </c>
      <c r="Q109" s="623" t="s">
        <v>2014</v>
      </c>
      <c r="R109" s="642" t="s">
        <v>65</v>
      </c>
    </row>
    <row r="110" spans="1:18" ht="28.5" customHeight="1" outlineLevel="2">
      <c r="A110" s="85" t="s">
        <v>588</v>
      </c>
      <c r="B110" s="401" t="s">
        <v>1859</v>
      </c>
      <c r="C110" s="85" t="s">
        <v>894</v>
      </c>
      <c r="D110" s="148" t="s">
        <v>7</v>
      </c>
      <c r="E110" s="87">
        <v>2018</v>
      </c>
      <c r="F110" s="88">
        <v>272</v>
      </c>
      <c r="G110" s="120" t="s">
        <v>943</v>
      </c>
      <c r="H110" s="581" t="s">
        <v>57</v>
      </c>
      <c r="I110" s="601">
        <v>16000</v>
      </c>
      <c r="J110" s="595" t="s">
        <v>9</v>
      </c>
      <c r="K110" s="91">
        <v>1</v>
      </c>
      <c r="L110" s="91">
        <v>3</v>
      </c>
      <c r="M110" s="92">
        <v>45</v>
      </c>
      <c r="N110" s="119" t="str">
        <f>VLOOKUP(M110,'PF Uscite Sp. Corr.'!$C$1:$E$100,2,FALSE)</f>
        <v>Utenze e canoni</v>
      </c>
      <c r="O110" s="131">
        <v>1128</v>
      </c>
      <c r="P110" s="614" t="str">
        <f>VLOOKUP(O110,'Centri di Costo'!$A$2:$B$179,2,FALSE)</f>
        <v>Att. Ord. Az. Sasse - Spese Generali</v>
      </c>
      <c r="Q110" s="623" t="s">
        <v>2014</v>
      </c>
      <c r="R110" s="642" t="s">
        <v>58</v>
      </c>
    </row>
    <row r="111" spans="1:18" ht="28.5" customHeight="1" outlineLevel="2">
      <c r="A111" s="85" t="s">
        <v>588</v>
      </c>
      <c r="B111" s="401" t="s">
        <v>1859</v>
      </c>
      <c r="C111" s="85" t="s">
        <v>894</v>
      </c>
      <c r="D111" s="148" t="s">
        <v>7</v>
      </c>
      <c r="E111" s="87">
        <v>2018</v>
      </c>
      <c r="F111" s="88">
        <v>272</v>
      </c>
      <c r="G111" s="120" t="s">
        <v>943</v>
      </c>
      <c r="H111" s="581" t="s">
        <v>949</v>
      </c>
      <c r="I111" s="601">
        <v>350</v>
      </c>
      <c r="J111" s="595" t="s">
        <v>9</v>
      </c>
      <c r="K111" s="91">
        <v>1</v>
      </c>
      <c r="L111" s="91">
        <v>3</v>
      </c>
      <c r="M111" s="92">
        <v>47</v>
      </c>
      <c r="N111" s="119" t="str">
        <f>VLOOKUP(M111,'PF Uscite Sp. Corr.'!$C$1:$E$100,2,FALSE)</f>
        <v>Utilizzo di beni di terzi</v>
      </c>
      <c r="O111" s="131">
        <v>1128</v>
      </c>
      <c r="P111" s="614" t="str">
        <f>VLOOKUP(O111,'Centri di Costo'!$A$2:$B$179,2,FALSE)</f>
        <v>Att. Ord. Az. Sasse - Spese Generali</v>
      </c>
      <c r="Q111" s="619" t="s">
        <v>1996</v>
      </c>
      <c r="R111" s="642" t="s">
        <v>127</v>
      </c>
    </row>
    <row r="112" spans="1:18" ht="28.5" customHeight="1" outlineLevel="2">
      <c r="A112" s="85" t="s">
        <v>588</v>
      </c>
      <c r="B112" s="401" t="s">
        <v>1859</v>
      </c>
      <c r="C112" s="85" t="s">
        <v>894</v>
      </c>
      <c r="D112" s="148" t="s">
        <v>7</v>
      </c>
      <c r="E112" s="87">
        <v>2018</v>
      </c>
      <c r="F112" s="88">
        <v>53</v>
      </c>
      <c r="G112" s="120" t="s">
        <v>939</v>
      </c>
      <c r="H112" s="581" t="s">
        <v>1547</v>
      </c>
      <c r="I112" s="601">
        <v>2000</v>
      </c>
      <c r="J112" s="595" t="s">
        <v>9</v>
      </c>
      <c r="K112" s="91">
        <v>1</v>
      </c>
      <c r="L112" s="91">
        <v>3</v>
      </c>
      <c r="M112" s="92">
        <v>49</v>
      </c>
      <c r="N112" s="119" t="str">
        <f>VLOOKUP(M112,'PF Uscite Sp. Corr.'!$C$1:$E$100,2,FALSE)</f>
        <v>Manutenzione ordinaria e riparazioni</v>
      </c>
      <c r="O112" s="131">
        <v>1122</v>
      </c>
      <c r="P112" s="614" t="str">
        <f>VLOOKUP(O112,'Centri di Costo'!$A$2:$B$179,2,FALSE)</f>
        <v>Att. Ord. Az. Sasse - Frutteto</v>
      </c>
      <c r="Q112" s="619" t="s">
        <v>1996</v>
      </c>
      <c r="R112" s="642" t="s">
        <v>52</v>
      </c>
    </row>
    <row r="113" spans="1:18" ht="28.5" customHeight="1" outlineLevel="2">
      <c r="A113" s="85" t="s">
        <v>588</v>
      </c>
      <c r="B113" s="401" t="s">
        <v>1859</v>
      </c>
      <c r="C113" s="85" t="s">
        <v>894</v>
      </c>
      <c r="D113" s="148" t="s">
        <v>7</v>
      </c>
      <c r="E113" s="87">
        <v>2018</v>
      </c>
      <c r="F113" s="88">
        <v>33</v>
      </c>
      <c r="G113" s="120" t="s">
        <v>940</v>
      </c>
      <c r="H113" s="581" t="s">
        <v>942</v>
      </c>
      <c r="I113" s="601">
        <v>3000</v>
      </c>
      <c r="J113" s="595" t="s">
        <v>9</v>
      </c>
      <c r="K113" s="91">
        <v>1</v>
      </c>
      <c r="L113" s="91">
        <v>3</v>
      </c>
      <c r="M113" s="92">
        <v>49</v>
      </c>
      <c r="N113" s="119" t="str">
        <f>VLOOKUP(M113,'PF Uscite Sp. Corr.'!$C$1:$E$100,2,FALSE)</f>
        <v>Manutenzione ordinaria e riparazioni</v>
      </c>
      <c r="O113" s="131">
        <v>1124</v>
      </c>
      <c r="P113" s="614" t="str">
        <f>VLOOKUP(O113,'Centri di Costo'!$A$2:$B$179,2,FALSE)</f>
        <v>Att. Ord. Az. Sasse - Allevam. Avicoli</v>
      </c>
      <c r="Q113" s="619" t="s">
        <v>1996</v>
      </c>
      <c r="R113" s="642" t="s">
        <v>412</v>
      </c>
    </row>
    <row r="114" spans="1:18" ht="28.5" customHeight="1" outlineLevel="2">
      <c r="A114" s="85" t="s">
        <v>588</v>
      </c>
      <c r="B114" s="401" t="s">
        <v>1859</v>
      </c>
      <c r="C114" s="85" t="s">
        <v>894</v>
      </c>
      <c r="D114" s="148" t="s">
        <v>7</v>
      </c>
      <c r="E114" s="87">
        <v>2018</v>
      </c>
      <c r="F114" s="88">
        <v>272</v>
      </c>
      <c r="G114" s="120" t="s">
        <v>943</v>
      </c>
      <c r="H114" s="581" t="s">
        <v>945</v>
      </c>
      <c r="I114" s="601">
        <v>9000</v>
      </c>
      <c r="J114" s="595" t="s">
        <v>9</v>
      </c>
      <c r="K114" s="91">
        <v>1</v>
      </c>
      <c r="L114" s="91">
        <v>3</v>
      </c>
      <c r="M114" s="92">
        <v>49</v>
      </c>
      <c r="N114" s="119" t="str">
        <f>VLOOKUP(M114,'PF Uscite Sp. Corr.'!$C$1:$E$100,2,FALSE)</f>
        <v>Manutenzione ordinaria e riparazioni</v>
      </c>
      <c r="O114" s="131">
        <v>1128</v>
      </c>
      <c r="P114" s="614" t="str">
        <f>VLOOKUP(O114,'Centri di Costo'!$A$2:$B$179,2,FALSE)</f>
        <v>Att. Ord. Az. Sasse - Spese Generali</v>
      </c>
      <c r="Q114" s="619" t="s">
        <v>1996</v>
      </c>
      <c r="R114" s="642" t="s">
        <v>409</v>
      </c>
    </row>
    <row r="115" spans="1:18" ht="28.5" customHeight="1" outlineLevel="2">
      <c r="A115" s="85" t="s">
        <v>588</v>
      </c>
      <c r="B115" s="401" t="s">
        <v>1859</v>
      </c>
      <c r="C115" s="85" t="s">
        <v>894</v>
      </c>
      <c r="D115" s="148" t="s">
        <v>7</v>
      </c>
      <c r="E115" s="87">
        <v>2018</v>
      </c>
      <c r="F115" s="88">
        <v>272</v>
      </c>
      <c r="G115" s="120" t="s">
        <v>943</v>
      </c>
      <c r="H115" s="581" t="s">
        <v>361</v>
      </c>
      <c r="I115" s="601">
        <v>1500</v>
      </c>
      <c r="J115" s="595" t="s">
        <v>9</v>
      </c>
      <c r="K115" s="91">
        <v>1</v>
      </c>
      <c r="L115" s="91">
        <v>3</v>
      </c>
      <c r="M115" s="92">
        <v>49</v>
      </c>
      <c r="N115" s="119" t="str">
        <f>VLOOKUP(M115,'PF Uscite Sp. Corr.'!$C$1:$E$100,2,FALSE)</f>
        <v>Manutenzione ordinaria e riparazioni</v>
      </c>
      <c r="O115" s="131">
        <v>1128</v>
      </c>
      <c r="P115" s="614" t="str">
        <f>VLOOKUP(O115,'Centri di Costo'!$A$2:$B$179,2,FALSE)</f>
        <v>Att. Ord. Az. Sasse - Spese Generali</v>
      </c>
      <c r="Q115" s="619" t="s">
        <v>1996</v>
      </c>
      <c r="R115" s="642" t="s">
        <v>99</v>
      </c>
    </row>
    <row r="116" spans="1:18" ht="28.5" customHeight="1" outlineLevel="2">
      <c r="A116" s="85" t="s">
        <v>588</v>
      </c>
      <c r="B116" s="401" t="s">
        <v>1859</v>
      </c>
      <c r="C116" s="85" t="s">
        <v>894</v>
      </c>
      <c r="D116" s="148" t="s">
        <v>7</v>
      </c>
      <c r="E116" s="87">
        <v>2018</v>
      </c>
      <c r="F116" s="88">
        <v>272</v>
      </c>
      <c r="G116" s="120" t="s">
        <v>943</v>
      </c>
      <c r="H116" s="581" t="s">
        <v>947</v>
      </c>
      <c r="I116" s="601">
        <v>500</v>
      </c>
      <c r="J116" s="595" t="s">
        <v>9</v>
      </c>
      <c r="K116" s="91">
        <v>1</v>
      </c>
      <c r="L116" s="91">
        <v>3</v>
      </c>
      <c r="M116" s="92">
        <v>49</v>
      </c>
      <c r="N116" s="119" t="str">
        <f>VLOOKUP(M116,'PF Uscite Sp. Corr.'!$C$1:$E$100,2,FALSE)</f>
        <v>Manutenzione ordinaria e riparazioni</v>
      </c>
      <c r="O116" s="131">
        <v>1128</v>
      </c>
      <c r="P116" s="614" t="str">
        <f>VLOOKUP(O116,'Centri di Costo'!$A$2:$B$179,2,FALSE)</f>
        <v>Att. Ord. Az. Sasse - Spese Generali</v>
      </c>
      <c r="Q116" s="619" t="s">
        <v>1996</v>
      </c>
      <c r="R116" s="642" t="s">
        <v>647</v>
      </c>
    </row>
    <row r="117" spans="1:18" ht="28.5" customHeight="1" outlineLevel="2">
      <c r="A117" s="85" t="s">
        <v>588</v>
      </c>
      <c r="B117" s="401" t="s">
        <v>1859</v>
      </c>
      <c r="C117" s="85" t="s">
        <v>894</v>
      </c>
      <c r="D117" s="148" t="s">
        <v>7</v>
      </c>
      <c r="E117" s="87">
        <v>2018</v>
      </c>
      <c r="F117" s="88">
        <v>272</v>
      </c>
      <c r="G117" s="120" t="s">
        <v>943</v>
      </c>
      <c r="H117" s="581" t="s">
        <v>948</v>
      </c>
      <c r="I117" s="601">
        <v>7000</v>
      </c>
      <c r="J117" s="595" t="s">
        <v>9</v>
      </c>
      <c r="K117" s="91">
        <v>1</v>
      </c>
      <c r="L117" s="91">
        <v>3</v>
      </c>
      <c r="M117" s="92">
        <v>49</v>
      </c>
      <c r="N117" s="119" t="str">
        <f>VLOOKUP(M117,'PF Uscite Sp. Corr.'!$C$1:$E$100,2,FALSE)</f>
        <v>Manutenzione ordinaria e riparazioni</v>
      </c>
      <c r="O117" s="131">
        <v>1128</v>
      </c>
      <c r="P117" s="614" t="str">
        <f>VLOOKUP(O117,'Centri di Costo'!$A$2:$B$179,2,FALSE)</f>
        <v>Att. Ord. Az. Sasse - Spese Generali</v>
      </c>
      <c r="Q117" s="619" t="s">
        <v>1996</v>
      </c>
      <c r="R117" s="642" t="s">
        <v>612</v>
      </c>
    </row>
    <row r="118" spans="1:18" ht="28.5" customHeight="1" outlineLevel="2">
      <c r="A118" s="85" t="s">
        <v>588</v>
      </c>
      <c r="B118" s="401" t="s">
        <v>1859</v>
      </c>
      <c r="C118" s="85" t="s">
        <v>894</v>
      </c>
      <c r="D118" s="148" t="s">
        <v>7</v>
      </c>
      <c r="E118" s="87">
        <v>2018</v>
      </c>
      <c r="F118" s="88">
        <v>272</v>
      </c>
      <c r="G118" s="120" t="s">
        <v>943</v>
      </c>
      <c r="H118" s="581" t="s">
        <v>373</v>
      </c>
      <c r="I118" s="601">
        <v>1000</v>
      </c>
      <c r="J118" s="595" t="s">
        <v>9</v>
      </c>
      <c r="K118" s="91">
        <v>1</v>
      </c>
      <c r="L118" s="91">
        <v>3</v>
      </c>
      <c r="M118" s="92">
        <v>49</v>
      </c>
      <c r="N118" s="119" t="str">
        <f>VLOOKUP(M118,'PF Uscite Sp. Corr.'!$C$1:$E$100,2,FALSE)</f>
        <v>Manutenzione ordinaria e riparazioni</v>
      </c>
      <c r="O118" s="131">
        <v>1128</v>
      </c>
      <c r="P118" s="614" t="str">
        <f>VLOOKUP(O118,'Centri di Costo'!$A$2:$B$179,2,FALSE)</f>
        <v>Att. Ord. Az. Sasse - Spese Generali</v>
      </c>
      <c r="Q118" s="619" t="s">
        <v>1996</v>
      </c>
      <c r="R118" s="642" t="s">
        <v>111</v>
      </c>
    </row>
    <row r="119" spans="1:18" ht="28.5" customHeight="1" outlineLevel="2">
      <c r="A119" s="85" t="s">
        <v>588</v>
      </c>
      <c r="B119" s="401" t="s">
        <v>1859</v>
      </c>
      <c r="C119" s="85" t="s">
        <v>894</v>
      </c>
      <c r="D119" s="148" t="s">
        <v>7</v>
      </c>
      <c r="E119" s="87">
        <v>2018</v>
      </c>
      <c r="F119" s="88">
        <v>33</v>
      </c>
      <c r="G119" s="120" t="s">
        <v>940</v>
      </c>
      <c r="H119" s="581" t="s">
        <v>1539</v>
      </c>
      <c r="I119" s="601">
        <v>3000</v>
      </c>
      <c r="J119" s="595" t="s">
        <v>9</v>
      </c>
      <c r="K119" s="91">
        <v>1</v>
      </c>
      <c r="L119" s="91">
        <v>3</v>
      </c>
      <c r="M119" s="92">
        <v>51</v>
      </c>
      <c r="N119" s="119" t="str">
        <f>VLOOKUP(M119,'PF Uscite Sp. Corr.'!$C$1:$E$100,2,FALSE)</f>
        <v>Prestazioni professionali e specialistiche</v>
      </c>
      <c r="O119" s="131">
        <v>1124</v>
      </c>
      <c r="P119" s="614" t="str">
        <f>VLOOKUP(O119,'Centri di Costo'!$A$2:$B$179,2,FALSE)</f>
        <v>Att. Ord. Az. Sasse - Allevam. Avicoli</v>
      </c>
      <c r="Q119" s="619" t="s">
        <v>1996</v>
      </c>
      <c r="R119" s="642" t="s">
        <v>941</v>
      </c>
    </row>
    <row r="120" spans="1:18" ht="28.5" customHeight="1" outlineLevel="2">
      <c r="A120" s="85" t="s">
        <v>588</v>
      </c>
      <c r="B120" s="401" t="s">
        <v>1859</v>
      </c>
      <c r="C120" s="85" t="s">
        <v>894</v>
      </c>
      <c r="D120" s="148" t="s">
        <v>7</v>
      </c>
      <c r="E120" s="87">
        <v>2018</v>
      </c>
      <c r="F120" s="88">
        <v>272</v>
      </c>
      <c r="G120" s="120" t="s">
        <v>943</v>
      </c>
      <c r="H120" s="581" t="s">
        <v>946</v>
      </c>
      <c r="I120" s="601">
        <v>500</v>
      </c>
      <c r="J120" s="595" t="s">
        <v>9</v>
      </c>
      <c r="K120" s="91">
        <v>1</v>
      </c>
      <c r="L120" s="91">
        <v>3</v>
      </c>
      <c r="M120" s="92">
        <v>51</v>
      </c>
      <c r="N120" s="119" t="str">
        <f>VLOOKUP(M120,'PF Uscite Sp. Corr.'!$C$1:$E$100,2,FALSE)</f>
        <v>Prestazioni professionali e specialistiche</v>
      </c>
      <c r="O120" s="131">
        <v>1128</v>
      </c>
      <c r="P120" s="614" t="str">
        <f>VLOOKUP(O120,'Centri di Costo'!$A$2:$B$179,2,FALSE)</f>
        <v>Att. Ord. Az. Sasse - Spese Generali</v>
      </c>
      <c r="Q120" s="619" t="s">
        <v>1996</v>
      </c>
      <c r="R120" s="642" t="s">
        <v>87</v>
      </c>
    </row>
    <row r="121" spans="1:18" ht="28.5" customHeight="1" outlineLevel="2">
      <c r="A121" s="85" t="s">
        <v>588</v>
      </c>
      <c r="B121" s="401" t="s">
        <v>1859</v>
      </c>
      <c r="C121" s="85" t="s">
        <v>894</v>
      </c>
      <c r="D121" s="148" t="s">
        <v>7</v>
      </c>
      <c r="E121" s="87">
        <v>2018</v>
      </c>
      <c r="F121" s="88">
        <v>272</v>
      </c>
      <c r="G121" s="120" t="s">
        <v>943</v>
      </c>
      <c r="H121" s="581" t="s">
        <v>1540</v>
      </c>
      <c r="I121" s="601">
        <v>1500</v>
      </c>
      <c r="J121" s="595" t="s">
        <v>9</v>
      </c>
      <c r="K121" s="91">
        <v>1</v>
      </c>
      <c r="L121" s="91">
        <v>3</v>
      </c>
      <c r="M121" s="92">
        <v>51</v>
      </c>
      <c r="N121" s="119" t="str">
        <f>VLOOKUP(M121,'PF Uscite Sp. Corr.'!$C$1:$E$100,2,FALSE)</f>
        <v>Prestazioni professionali e specialistiche</v>
      </c>
      <c r="O121" s="131">
        <v>1128</v>
      </c>
      <c r="P121" s="614" t="str">
        <f>VLOOKUP(O121,'Centri di Costo'!$A$2:$B$179,2,FALSE)</f>
        <v>Att. Ord. Az. Sasse - Spese Generali</v>
      </c>
      <c r="Q121" s="619" t="s">
        <v>2029</v>
      </c>
      <c r="R121" s="642" t="s">
        <v>414</v>
      </c>
    </row>
    <row r="122" spans="1:18" ht="28.5" customHeight="1" outlineLevel="2">
      <c r="A122" s="85" t="s">
        <v>588</v>
      </c>
      <c r="B122" s="401" t="s">
        <v>1859</v>
      </c>
      <c r="C122" s="85" t="s">
        <v>894</v>
      </c>
      <c r="D122" s="148" t="s">
        <v>7</v>
      </c>
      <c r="E122" s="87">
        <v>2018</v>
      </c>
      <c r="F122" s="88">
        <v>51</v>
      </c>
      <c r="G122" s="120" t="s">
        <v>938</v>
      </c>
      <c r="H122" s="581" t="s">
        <v>1545</v>
      </c>
      <c r="I122" s="601">
        <v>35000</v>
      </c>
      <c r="J122" s="595" t="s">
        <v>9</v>
      </c>
      <c r="K122" s="91">
        <v>1</v>
      </c>
      <c r="L122" s="91">
        <v>3</v>
      </c>
      <c r="M122" s="92">
        <v>53</v>
      </c>
      <c r="N122" s="119" t="str">
        <f>VLOOKUP(M122,'PF Uscite Sp. Corr.'!$C$1:$E$100,2,FALSE)</f>
        <v>Servizi ausiliari per il funzionamento dell'ente</v>
      </c>
      <c r="O122" s="131">
        <v>1121</v>
      </c>
      <c r="P122" s="614" t="str">
        <f>VLOOKUP(O122,'Centri di Costo'!$A$2:$B$179,2,FALSE)</f>
        <v>Att. Ord. Az. Sasse - Seminativi</v>
      </c>
      <c r="Q122" s="619" t="s">
        <v>1996</v>
      </c>
      <c r="R122" s="642" t="s">
        <v>614</v>
      </c>
    </row>
    <row r="123" spans="1:18" ht="36" customHeight="1" outlineLevel="2">
      <c r="A123" s="94" t="s">
        <v>588</v>
      </c>
      <c r="B123" s="401" t="s">
        <v>1859</v>
      </c>
      <c r="C123" s="94" t="s">
        <v>894</v>
      </c>
      <c r="D123" s="149" t="s">
        <v>7</v>
      </c>
      <c r="E123" s="101">
        <v>2018</v>
      </c>
      <c r="F123" s="102">
        <v>104</v>
      </c>
      <c r="G123" s="121" t="s">
        <v>897</v>
      </c>
      <c r="H123" s="580" t="s">
        <v>1064</v>
      </c>
      <c r="I123" s="600">
        <f>1500-600</f>
        <v>900</v>
      </c>
      <c r="J123" s="594" t="s">
        <v>9</v>
      </c>
      <c r="K123" s="99">
        <v>1</v>
      </c>
      <c r="L123" s="99">
        <v>3</v>
      </c>
      <c r="M123" s="113">
        <v>53</v>
      </c>
      <c r="N123" s="128" t="str">
        <f>VLOOKUP(M123,'PF Uscite Sp. Corr.'!$C$1:$E$100,2,FALSE)</f>
        <v>Servizi ausiliari per il funzionamento dell'ente</v>
      </c>
      <c r="O123" s="132">
        <v>1121</v>
      </c>
      <c r="P123" s="613" t="str">
        <f>VLOOKUP(O123,'Centri di Costo'!$A$2:$B$179,2,FALSE)</f>
        <v>Att. Ord. Az. Sasse - Seminativi</v>
      </c>
      <c r="Q123" s="619" t="s">
        <v>1996</v>
      </c>
      <c r="R123" s="639" t="s">
        <v>614</v>
      </c>
    </row>
    <row r="124" spans="1:18" ht="28.5" customHeight="1" outlineLevel="2">
      <c r="A124" s="85" t="s">
        <v>588</v>
      </c>
      <c r="B124" s="401" t="s">
        <v>1859</v>
      </c>
      <c r="C124" s="85" t="s">
        <v>894</v>
      </c>
      <c r="D124" s="148" t="s">
        <v>7</v>
      </c>
      <c r="E124" s="87">
        <v>2018</v>
      </c>
      <c r="F124" s="88">
        <v>272</v>
      </c>
      <c r="G124" s="120" t="s">
        <v>943</v>
      </c>
      <c r="H124" s="581" t="s">
        <v>944</v>
      </c>
      <c r="I124" s="601">
        <v>3000</v>
      </c>
      <c r="J124" s="595" t="s">
        <v>9</v>
      </c>
      <c r="K124" s="91">
        <v>1</v>
      </c>
      <c r="L124" s="91">
        <v>3</v>
      </c>
      <c r="M124" s="92">
        <v>53</v>
      </c>
      <c r="N124" s="119" t="str">
        <f>VLOOKUP(M124,'PF Uscite Sp. Corr.'!$C$1:$E$100,2,FALSE)</f>
        <v>Servizi ausiliari per il funzionamento dell'ente</v>
      </c>
      <c r="O124" s="131">
        <v>1128</v>
      </c>
      <c r="P124" s="614" t="str">
        <f>VLOOKUP(O124,'Centri di Costo'!$A$2:$B$179,2,FALSE)</f>
        <v>Att. Ord. Az. Sasse - Spese Generali</v>
      </c>
      <c r="Q124" s="619" t="s">
        <v>1996</v>
      </c>
      <c r="R124" s="642" t="s">
        <v>315</v>
      </c>
    </row>
    <row r="125" spans="1:18" ht="28.5" customHeight="1" outlineLevel="2">
      <c r="A125" s="115" t="s">
        <v>588</v>
      </c>
      <c r="B125" s="401" t="s">
        <v>1859</v>
      </c>
      <c r="C125" s="115" t="s">
        <v>894</v>
      </c>
      <c r="D125" s="417" t="s">
        <v>7</v>
      </c>
      <c r="E125" s="412">
        <v>2018</v>
      </c>
      <c r="F125" s="88">
        <v>272</v>
      </c>
      <c r="G125" s="123" t="s">
        <v>943</v>
      </c>
      <c r="H125" s="583" t="s">
        <v>371</v>
      </c>
      <c r="I125" s="603">
        <v>5000</v>
      </c>
      <c r="J125" s="596" t="s">
        <v>9</v>
      </c>
      <c r="K125" s="216">
        <v>1</v>
      </c>
      <c r="L125" s="216">
        <v>3</v>
      </c>
      <c r="M125" s="418">
        <v>53</v>
      </c>
      <c r="N125" s="118" t="str">
        <f>VLOOKUP(M125,'PF Uscite Sp. Corr.'!$C$1:$E$100,2,FALSE)</f>
        <v>Servizi ausiliari per il funzionamento dell'ente</v>
      </c>
      <c r="O125" s="419">
        <v>1128</v>
      </c>
      <c r="P125" s="615" t="str">
        <f>VLOOKUP(O125,'Centri di Costo'!$A$2:$B$179,2,FALSE)</f>
        <v>Att. Ord. Az. Sasse - Spese Generali</v>
      </c>
      <c r="Q125" s="619" t="s">
        <v>1996</v>
      </c>
      <c r="R125" s="648" t="s">
        <v>667</v>
      </c>
    </row>
    <row r="126" spans="1:18" s="139" customFormat="1" ht="28.5" customHeight="1" outlineLevel="2">
      <c r="A126" s="397" t="s">
        <v>588</v>
      </c>
      <c r="B126" s="401" t="s">
        <v>1859</v>
      </c>
      <c r="C126" s="397" t="s">
        <v>894</v>
      </c>
      <c r="D126" s="511" t="s">
        <v>7</v>
      </c>
      <c r="E126" s="141">
        <v>2018</v>
      </c>
      <c r="F126" s="88">
        <v>272</v>
      </c>
      <c r="G126" s="124" t="s">
        <v>943</v>
      </c>
      <c r="H126" s="124" t="s">
        <v>956</v>
      </c>
      <c r="I126" s="604">
        <v>2200</v>
      </c>
      <c r="J126" s="135" t="s">
        <v>9</v>
      </c>
      <c r="K126" s="136">
        <v>1</v>
      </c>
      <c r="L126" s="136">
        <v>3</v>
      </c>
      <c r="M126" s="203">
        <v>53</v>
      </c>
      <c r="N126" s="129" t="str">
        <f>VLOOKUP(M126,'PF Uscite Sp. Corr.'!$C$1:$E$100,2,FALSE)</f>
        <v>Servizi ausiliari per il funzionamento dell'ente</v>
      </c>
      <c r="O126" s="395">
        <v>1128</v>
      </c>
      <c r="P126" s="170" t="str">
        <f>VLOOKUP(O126,'Centri di Costo'!$A$2:$B$179,2,FALSE)</f>
        <v>Att. Ord. Az. Sasse - Spese Generali</v>
      </c>
      <c r="Q126" s="619" t="s">
        <v>1996</v>
      </c>
      <c r="R126" s="644" t="s">
        <v>54</v>
      </c>
    </row>
    <row r="127" spans="1:18" ht="28.5" customHeight="1" outlineLevel="2">
      <c r="A127" s="94" t="s">
        <v>588</v>
      </c>
      <c r="B127" s="401" t="s">
        <v>1859</v>
      </c>
      <c r="C127" s="94" t="s">
        <v>894</v>
      </c>
      <c r="D127" s="149" t="s">
        <v>7</v>
      </c>
      <c r="E127" s="101">
        <v>2018</v>
      </c>
      <c r="F127" s="102">
        <v>272</v>
      </c>
      <c r="G127" s="121" t="s">
        <v>943</v>
      </c>
      <c r="H127" s="580" t="s">
        <v>351</v>
      </c>
      <c r="I127" s="600">
        <v>1000</v>
      </c>
      <c r="J127" s="594" t="s">
        <v>9</v>
      </c>
      <c r="K127" s="99">
        <v>1</v>
      </c>
      <c r="L127" s="99">
        <v>3</v>
      </c>
      <c r="M127" s="113">
        <v>55</v>
      </c>
      <c r="N127" s="128" t="str">
        <f>VLOOKUP(M127,'PF Uscite Sp. Corr.'!$C$1:$E$100,2,FALSE)</f>
        <v>Altri servizi</v>
      </c>
      <c r="O127" s="132">
        <v>1128</v>
      </c>
      <c r="P127" s="613" t="str">
        <f>VLOOKUP(O127,'Centri di Costo'!$A$2:$B$179,2,FALSE)</f>
        <v>Att. Ord. Az. Sasse - Spese Generali</v>
      </c>
      <c r="Q127" s="619" t="s">
        <v>1996</v>
      </c>
      <c r="R127" s="639" t="s">
        <v>239</v>
      </c>
    </row>
    <row r="128" spans="1:18" ht="28.5" customHeight="1" outlineLevel="2">
      <c r="A128" s="85" t="s">
        <v>588</v>
      </c>
      <c r="B128" s="401" t="s">
        <v>1859</v>
      </c>
      <c r="C128" s="85" t="s">
        <v>894</v>
      </c>
      <c r="D128" s="148" t="s">
        <v>7</v>
      </c>
      <c r="E128" s="87">
        <v>2018</v>
      </c>
      <c r="F128" s="88">
        <v>272</v>
      </c>
      <c r="G128" s="120" t="s">
        <v>943</v>
      </c>
      <c r="H128" s="581" t="s">
        <v>172</v>
      </c>
      <c r="I128" s="601">
        <v>100</v>
      </c>
      <c r="J128" s="595" t="s">
        <v>9</v>
      </c>
      <c r="K128" s="91">
        <v>1</v>
      </c>
      <c r="L128" s="91">
        <v>3</v>
      </c>
      <c r="M128" s="92">
        <v>56</v>
      </c>
      <c r="N128" s="119" t="str">
        <f>VLOOKUP(M128,'PF Uscite Sp. Corr.'!$C$1:$E$100,2,FALSE)</f>
        <v>Servizi amministrativi</v>
      </c>
      <c r="O128" s="131">
        <v>1128</v>
      </c>
      <c r="P128" s="614" t="str">
        <f>VLOOKUP(O128,'Centri di Costo'!$A$2:$B$179,2,FALSE)</f>
        <v>Att. Ord. Az. Sasse - Spese Generali</v>
      </c>
      <c r="Q128" s="619" t="s">
        <v>1996</v>
      </c>
      <c r="R128" s="642" t="s">
        <v>79</v>
      </c>
    </row>
    <row r="129" spans="1:18" ht="28.5" customHeight="1" outlineLevel="2">
      <c r="A129" s="85" t="s">
        <v>89</v>
      </c>
      <c r="B129" s="401" t="s">
        <v>1859</v>
      </c>
      <c r="C129" s="85" t="s">
        <v>150</v>
      </c>
      <c r="D129" s="148" t="s">
        <v>7</v>
      </c>
      <c r="E129" s="87">
        <v>2018</v>
      </c>
      <c r="F129" s="88">
        <v>133</v>
      </c>
      <c r="G129" s="120" t="s">
        <v>200</v>
      </c>
      <c r="H129" s="581" t="s">
        <v>214</v>
      </c>
      <c r="I129" s="601">
        <v>1000</v>
      </c>
      <c r="J129" s="595" t="s">
        <v>9</v>
      </c>
      <c r="K129" s="91">
        <v>1</v>
      </c>
      <c r="L129" s="91">
        <v>3</v>
      </c>
      <c r="M129" s="92">
        <v>59</v>
      </c>
      <c r="N129" s="119" t="str">
        <f>VLOOKUP(M129,'PF Uscite Sp. Corr.'!$C$1:$E$100,2,FALSE)</f>
        <v>Servizi informatici e di telecomunicazioni</v>
      </c>
      <c r="O129" s="131">
        <v>1128</v>
      </c>
      <c r="P129" s="614" t="str">
        <f>VLOOKUP(O129,'Centri di Costo'!$A$2:$B$179,2,FALSE)</f>
        <v>Att. Ord. Az. Sasse - Spese Generali</v>
      </c>
      <c r="Q129" s="624" t="s">
        <v>2014</v>
      </c>
      <c r="R129" s="642" t="s">
        <v>202</v>
      </c>
    </row>
    <row r="130" spans="1:18" ht="28.5" customHeight="1" outlineLevel="2">
      <c r="A130" s="85" t="s">
        <v>588</v>
      </c>
      <c r="B130" s="401" t="s">
        <v>1859</v>
      </c>
      <c r="C130" s="85" t="s">
        <v>894</v>
      </c>
      <c r="D130" s="148" t="s">
        <v>7</v>
      </c>
      <c r="E130" s="87">
        <v>2018</v>
      </c>
      <c r="F130" s="88">
        <v>51</v>
      </c>
      <c r="G130" s="120" t="s">
        <v>938</v>
      </c>
      <c r="H130" s="581" t="s">
        <v>901</v>
      </c>
      <c r="I130" s="601">
        <v>6000</v>
      </c>
      <c r="J130" s="595" t="s">
        <v>9</v>
      </c>
      <c r="K130" s="91">
        <v>1</v>
      </c>
      <c r="L130" s="91">
        <v>10</v>
      </c>
      <c r="M130" s="92">
        <v>86</v>
      </c>
      <c r="N130" s="119" t="str">
        <f>VLOOKUP(M130,'PF Uscite Sp. Corr.'!$C$1:$E$100,2,FALSE)</f>
        <v>Premi di assicurazione contro i danni</v>
      </c>
      <c r="O130" s="131">
        <v>1121</v>
      </c>
      <c r="P130" s="614" t="str">
        <f>VLOOKUP(O130,'Centri di Costo'!$A$2:$B$179,2,FALSE)</f>
        <v>Att. Ord. Az. Sasse - Seminativi</v>
      </c>
      <c r="Q130" s="623" t="s">
        <v>1996</v>
      </c>
      <c r="R130" s="642" t="s">
        <v>163</v>
      </c>
    </row>
    <row r="131" spans="1:18" ht="28.5" customHeight="1" outlineLevel="2">
      <c r="A131" s="85" t="s">
        <v>588</v>
      </c>
      <c r="B131" s="401" t="s">
        <v>1859</v>
      </c>
      <c r="C131" s="85" t="s">
        <v>894</v>
      </c>
      <c r="D131" s="148" t="s">
        <v>7</v>
      </c>
      <c r="E131" s="87">
        <v>2018</v>
      </c>
      <c r="F131" s="88">
        <v>272</v>
      </c>
      <c r="G131" s="120" t="s">
        <v>943</v>
      </c>
      <c r="H131" s="581" t="s">
        <v>955</v>
      </c>
      <c r="I131" s="601">
        <v>1710</v>
      </c>
      <c r="J131" s="595" t="s">
        <v>9</v>
      </c>
      <c r="K131" s="91">
        <v>1</v>
      </c>
      <c r="L131" s="91">
        <v>10</v>
      </c>
      <c r="M131" s="92">
        <v>86</v>
      </c>
      <c r="N131" s="119" t="str">
        <f>VLOOKUP(M131,'PF Uscite Sp. Corr.'!$C$1:$E$100,2,FALSE)</f>
        <v>Premi di assicurazione contro i danni</v>
      </c>
      <c r="O131" s="131">
        <v>1128</v>
      </c>
      <c r="P131" s="614" t="str">
        <f>VLOOKUP(O131,'Centri di Costo'!$A$2:$B$179,2,FALSE)</f>
        <v>Att. Ord. Az. Sasse - Spese Generali</v>
      </c>
      <c r="Q131" s="624" t="s">
        <v>2014</v>
      </c>
      <c r="R131" s="642" t="s">
        <v>59</v>
      </c>
    </row>
    <row r="132" spans="1:18" s="139" customFormat="1" ht="28.5" customHeight="1" outlineLevel="2">
      <c r="A132" s="115" t="s">
        <v>588</v>
      </c>
      <c r="B132" s="401" t="s">
        <v>1859</v>
      </c>
      <c r="C132" s="115" t="s">
        <v>894</v>
      </c>
      <c r="D132" s="417" t="s">
        <v>7</v>
      </c>
      <c r="E132" s="412">
        <v>2018</v>
      </c>
      <c r="F132" s="413">
        <v>272</v>
      </c>
      <c r="G132" s="123" t="s">
        <v>943</v>
      </c>
      <c r="H132" s="583" t="s">
        <v>657</v>
      </c>
      <c r="I132" s="603">
        <v>715</v>
      </c>
      <c r="J132" s="596" t="s">
        <v>9</v>
      </c>
      <c r="K132" s="216">
        <v>1</v>
      </c>
      <c r="L132" s="216">
        <v>10</v>
      </c>
      <c r="M132" s="418">
        <v>86</v>
      </c>
      <c r="N132" s="118" t="str">
        <f>VLOOKUP(M132,'PF Uscite Sp. Corr.'!$C$1:$E$100,2,FALSE)</f>
        <v>Premi di assicurazione contro i danni</v>
      </c>
      <c r="O132" s="419">
        <v>1128</v>
      </c>
      <c r="P132" s="615" t="str">
        <f>VLOOKUP(O132,'Centri di Costo'!$A$2:$B$179,2,FALSE)</f>
        <v>Att. Ord. Az. Sasse - Spese Generali</v>
      </c>
      <c r="Q132" s="624" t="s">
        <v>2014</v>
      </c>
      <c r="R132" s="648" t="s">
        <v>56</v>
      </c>
    </row>
    <row r="133" spans="1:18" s="215" customFormat="1" ht="20.25" customHeight="1" outlineLevel="1" collapsed="1">
      <c r="A133" s="160"/>
      <c r="B133" s="433" t="s">
        <v>1894</v>
      </c>
      <c r="C133" s="161"/>
      <c r="D133" s="437"/>
      <c r="E133" s="438"/>
      <c r="F133" s="438"/>
      <c r="G133" s="441" t="s">
        <v>1938</v>
      </c>
      <c r="H133" s="214" t="s">
        <v>1940</v>
      </c>
      <c r="I133" s="605">
        <f>SUBTOTAL(9,I82:I132)</f>
        <v>493454</v>
      </c>
      <c r="J133" s="212"/>
      <c r="K133" s="179"/>
      <c r="L133" s="179"/>
      <c r="M133" s="213"/>
      <c r="N133" s="434"/>
      <c r="O133" s="439"/>
      <c r="P133" s="435"/>
      <c r="Q133" s="620"/>
      <c r="R133" s="645"/>
    </row>
    <row r="134" spans="1:18" ht="28.5" customHeight="1" outlineLevel="2">
      <c r="A134" s="94" t="s">
        <v>588</v>
      </c>
      <c r="B134" s="402" t="s">
        <v>1860</v>
      </c>
      <c r="C134" s="94" t="s">
        <v>894</v>
      </c>
      <c r="D134" s="149" t="s">
        <v>7</v>
      </c>
      <c r="E134" s="101">
        <v>2018</v>
      </c>
      <c r="F134" s="102">
        <v>72</v>
      </c>
      <c r="G134" s="121" t="s">
        <v>958</v>
      </c>
      <c r="H134" s="580" t="s">
        <v>1091</v>
      </c>
      <c r="I134" s="600">
        <v>11000</v>
      </c>
      <c r="J134" s="594" t="s">
        <v>9</v>
      </c>
      <c r="K134" s="99">
        <v>1</v>
      </c>
      <c r="L134" s="99">
        <v>1</v>
      </c>
      <c r="M134" s="209" t="s">
        <v>1532</v>
      </c>
      <c r="N134" s="577" t="str">
        <f>VLOOKUP(M134,'PF Uscite Sp. Corr.'!$C$1:$E$100,2,FALSE)</f>
        <v>Salari, Oneri Sociali, Acc. TFR, Buoni Pasto (e IRAP su retribuz. se dovuta) OTI</v>
      </c>
      <c r="O134" s="132">
        <v>1138</v>
      </c>
      <c r="P134" s="613" t="str">
        <f>VLOOKUP(O134,'Centri di Costo'!$A$2:$B$179,2,FALSE)</f>
        <v>Att. Ord. Az. Vallevecchia - Spese Generali</v>
      </c>
      <c r="Q134" s="621" t="s">
        <v>1998</v>
      </c>
      <c r="R134" s="639" t="s">
        <v>427</v>
      </c>
    </row>
    <row r="135" spans="1:18" ht="28.5" customHeight="1" outlineLevel="2">
      <c r="A135" s="85" t="s">
        <v>588</v>
      </c>
      <c r="B135" s="400" t="s">
        <v>1860</v>
      </c>
      <c r="C135" s="85" t="s">
        <v>894</v>
      </c>
      <c r="D135" s="148" t="s">
        <v>7</v>
      </c>
      <c r="E135" s="87">
        <v>2018</v>
      </c>
      <c r="F135" s="88">
        <v>72</v>
      </c>
      <c r="G135" s="120" t="s">
        <v>958</v>
      </c>
      <c r="H135" s="581" t="s">
        <v>1534</v>
      </c>
      <c r="I135" s="601">
        <v>80000</v>
      </c>
      <c r="J135" s="595" t="s">
        <v>9</v>
      </c>
      <c r="K135" s="91">
        <v>1</v>
      </c>
      <c r="L135" s="91">
        <v>1</v>
      </c>
      <c r="M135" s="519" t="s">
        <v>1532</v>
      </c>
      <c r="N135" s="578" t="str">
        <f>VLOOKUP(M135,'PF Uscite Sp. Corr.'!$C$1:$E$100,2,FALSE)</f>
        <v>Salari, Oneri Sociali, Acc. TFR, Buoni Pasto (e IRAP su retribuz. se dovuta) OTI</v>
      </c>
      <c r="O135" s="131">
        <v>1138</v>
      </c>
      <c r="P135" s="614" t="str">
        <f>VLOOKUP(O135,'Centri di Costo'!$A$2:$B$179,2,FALSE)</f>
        <v>Att. Ord. Az. Vallevecchia - Spese Generali</v>
      </c>
      <c r="Q135" s="621" t="s">
        <v>1998</v>
      </c>
      <c r="R135" s="642" t="s">
        <v>427</v>
      </c>
    </row>
    <row r="136" spans="1:18" ht="28.5" customHeight="1" outlineLevel="2">
      <c r="A136" s="85" t="s">
        <v>588</v>
      </c>
      <c r="B136" s="400" t="s">
        <v>1860</v>
      </c>
      <c r="C136" s="85" t="s">
        <v>894</v>
      </c>
      <c r="D136" s="148" t="s">
        <v>7</v>
      </c>
      <c r="E136" s="87">
        <v>2018</v>
      </c>
      <c r="F136" s="88">
        <v>74</v>
      </c>
      <c r="G136" s="120" t="s">
        <v>975</v>
      </c>
      <c r="H136" s="581" t="s">
        <v>1092</v>
      </c>
      <c r="I136" s="601">
        <v>16000</v>
      </c>
      <c r="J136" s="595" t="s">
        <v>9</v>
      </c>
      <c r="K136" s="91">
        <v>1</v>
      </c>
      <c r="L136" s="91">
        <v>1</v>
      </c>
      <c r="M136" s="519" t="s">
        <v>1532</v>
      </c>
      <c r="N136" s="578" t="str">
        <f>VLOOKUP(M136,'PF Uscite Sp. Corr.'!$C$1:$E$100,2,FALSE)</f>
        <v>Salari, Oneri Sociali, Acc. TFR, Buoni Pasto (e IRAP su retribuz. se dovuta) OTI</v>
      </c>
      <c r="O136" s="131">
        <v>1138</v>
      </c>
      <c r="P136" s="614" t="str">
        <f>VLOOKUP(O136,'Centri di Costo'!$A$2:$B$179,2,FALSE)</f>
        <v>Att. Ord. Az. Vallevecchia - Spese Generali</v>
      </c>
      <c r="Q136" s="621" t="s">
        <v>1998</v>
      </c>
      <c r="R136" s="642" t="s">
        <v>427</v>
      </c>
    </row>
    <row r="137" spans="1:18" ht="28.5" customHeight="1" outlineLevel="2">
      <c r="A137" s="85" t="s">
        <v>588</v>
      </c>
      <c r="B137" s="400" t="s">
        <v>1860</v>
      </c>
      <c r="C137" s="85" t="s">
        <v>894</v>
      </c>
      <c r="D137" s="148" t="s">
        <v>7</v>
      </c>
      <c r="E137" s="87">
        <v>2018</v>
      </c>
      <c r="F137" s="88">
        <v>74</v>
      </c>
      <c r="G137" s="120" t="s">
        <v>975</v>
      </c>
      <c r="H137" s="581" t="s">
        <v>1637</v>
      </c>
      <c r="I137" s="601">
        <f>10000+2000+8000+5000</f>
        <v>25000</v>
      </c>
      <c r="J137" s="595" t="s">
        <v>9</v>
      </c>
      <c r="K137" s="91">
        <v>1</v>
      </c>
      <c r="L137" s="91">
        <v>1</v>
      </c>
      <c r="M137" s="517" t="s">
        <v>1530</v>
      </c>
      <c r="N137" s="578" t="str">
        <f>VLOOKUP(M137,'PF Uscite Sp. Corr.'!$C$1:$E$100,2,FALSE)</f>
        <v>Salari, Oneri Sociali, Acc. TFR, Buoni Pasto (e IRAP su retribuz. se dovuta) OTD</v>
      </c>
      <c r="O137" s="131">
        <v>1138</v>
      </c>
      <c r="P137" s="614" t="str">
        <f>VLOOKUP(O137,'Centri di Costo'!$A$2:$B$179,2,FALSE)</f>
        <v>Att. Ord. Az. Vallevecchia - Spese Generali</v>
      </c>
      <c r="Q137" s="621" t="s">
        <v>1998</v>
      </c>
      <c r="R137" s="642" t="s">
        <v>427</v>
      </c>
    </row>
    <row r="138" spans="1:18" ht="28.5" customHeight="1" outlineLevel="2">
      <c r="A138" s="94" t="s">
        <v>588</v>
      </c>
      <c r="B138" s="400" t="s">
        <v>1860</v>
      </c>
      <c r="C138" s="94" t="s">
        <v>894</v>
      </c>
      <c r="D138" s="149" t="s">
        <v>7</v>
      </c>
      <c r="E138" s="101">
        <v>2018</v>
      </c>
      <c r="F138" s="102">
        <v>72</v>
      </c>
      <c r="G138" s="121" t="s">
        <v>958</v>
      </c>
      <c r="H138" s="580" t="s">
        <v>1557</v>
      </c>
      <c r="I138" s="600">
        <v>1000</v>
      </c>
      <c r="J138" s="594" t="s">
        <v>9</v>
      </c>
      <c r="K138" s="99">
        <v>1</v>
      </c>
      <c r="L138" s="99">
        <v>1</v>
      </c>
      <c r="M138" s="517" t="s">
        <v>1530</v>
      </c>
      <c r="N138" s="578" t="str">
        <f>VLOOKUP(M138,'PF Uscite Sp. Corr.'!$C$1:$E$100,2,FALSE)</f>
        <v>Salari, Oneri Sociali, Acc. TFR, Buoni Pasto (e IRAP su retribuz. se dovuta) OTD</v>
      </c>
      <c r="O138" s="132">
        <v>1138</v>
      </c>
      <c r="P138" s="613" t="str">
        <f>VLOOKUP(O138,'Centri di Costo'!$A$2:$B$179,2,FALSE)</f>
        <v>Att. Ord. Az. Vallevecchia - Spese Generali</v>
      </c>
      <c r="Q138" s="621" t="s">
        <v>1998</v>
      </c>
      <c r="R138" s="639" t="s">
        <v>542</v>
      </c>
    </row>
    <row r="139" spans="1:18" ht="28.5" customHeight="1" outlineLevel="2">
      <c r="A139" s="85" t="s">
        <v>588</v>
      </c>
      <c r="B139" s="400" t="s">
        <v>1860</v>
      </c>
      <c r="C139" s="85" t="s">
        <v>894</v>
      </c>
      <c r="D139" s="148" t="s">
        <v>7</v>
      </c>
      <c r="E139" s="87">
        <v>2018</v>
      </c>
      <c r="F139" s="88">
        <v>72</v>
      </c>
      <c r="G139" s="120" t="s">
        <v>958</v>
      </c>
      <c r="H139" s="581" t="s">
        <v>1084</v>
      </c>
      <c r="I139" s="601">
        <v>10000</v>
      </c>
      <c r="J139" s="595" t="s">
        <v>9</v>
      </c>
      <c r="K139" s="91">
        <v>1</v>
      </c>
      <c r="L139" s="91">
        <v>1</v>
      </c>
      <c r="M139" s="232" t="s">
        <v>1530</v>
      </c>
      <c r="N139" s="578" t="str">
        <f>VLOOKUP(M139,'PF Uscite Sp. Corr.'!$C$1:$E$100,2,FALSE)</f>
        <v>Salari, Oneri Sociali, Acc. TFR, Buoni Pasto (e IRAP su retribuz. se dovuta) OTD</v>
      </c>
      <c r="O139" s="131">
        <v>1138</v>
      </c>
      <c r="P139" s="614" t="str">
        <f>VLOOKUP(O139,'Centri di Costo'!$A$2:$B$179,2,FALSE)</f>
        <v>Att. Ord. Az. Vallevecchia - Spese Generali</v>
      </c>
      <c r="Q139" s="621" t="s">
        <v>1998</v>
      </c>
      <c r="R139" s="642" t="s">
        <v>542</v>
      </c>
    </row>
    <row r="140" spans="1:18" ht="28.5" customHeight="1" outlineLevel="2">
      <c r="A140" s="85" t="s">
        <v>588</v>
      </c>
      <c r="B140" s="400" t="s">
        <v>1860</v>
      </c>
      <c r="C140" s="85" t="s">
        <v>894</v>
      </c>
      <c r="D140" s="148" t="s">
        <v>7</v>
      </c>
      <c r="E140" s="87">
        <v>2018</v>
      </c>
      <c r="F140" s="88">
        <v>72</v>
      </c>
      <c r="G140" s="120" t="s">
        <v>958</v>
      </c>
      <c r="H140" s="581" t="s">
        <v>1085</v>
      </c>
      <c r="I140" s="601">
        <f>63500+13000+5000</f>
        <v>81500</v>
      </c>
      <c r="J140" s="595" t="s">
        <v>9</v>
      </c>
      <c r="K140" s="91">
        <v>1</v>
      </c>
      <c r="L140" s="91">
        <v>1</v>
      </c>
      <c r="M140" s="232" t="s">
        <v>1530</v>
      </c>
      <c r="N140" s="578" t="str">
        <f>VLOOKUP(M140,'PF Uscite Sp. Corr.'!$C$1:$E$100,2,FALSE)</f>
        <v>Salari, Oneri Sociali, Acc. TFR, Buoni Pasto (e IRAP su retribuz. se dovuta) OTD</v>
      </c>
      <c r="O140" s="131">
        <v>1138</v>
      </c>
      <c r="P140" s="614" t="str">
        <f>VLOOKUP(O140,'Centri di Costo'!$A$2:$B$179,2,FALSE)</f>
        <v>Att. Ord. Az. Vallevecchia - Spese Generali</v>
      </c>
      <c r="Q140" s="621" t="s">
        <v>1998</v>
      </c>
      <c r="R140" s="642" t="s">
        <v>542</v>
      </c>
    </row>
    <row r="141" spans="1:18" ht="28.5" customHeight="1" outlineLevel="2">
      <c r="A141" s="85" t="s">
        <v>588</v>
      </c>
      <c r="B141" s="400" t="s">
        <v>1860</v>
      </c>
      <c r="C141" s="85" t="s">
        <v>894</v>
      </c>
      <c r="D141" s="148" t="s">
        <v>7</v>
      </c>
      <c r="E141" s="87">
        <v>2018</v>
      </c>
      <c r="F141" s="88">
        <v>74</v>
      </c>
      <c r="G141" s="120" t="s">
        <v>975</v>
      </c>
      <c r="H141" s="581" t="s">
        <v>976</v>
      </c>
      <c r="I141" s="601">
        <v>28000</v>
      </c>
      <c r="J141" s="595" t="s">
        <v>9</v>
      </c>
      <c r="K141" s="91">
        <v>1</v>
      </c>
      <c r="L141" s="91">
        <v>2</v>
      </c>
      <c r="M141" s="92">
        <v>16</v>
      </c>
      <c r="N141" s="119" t="str">
        <f>VLOOKUP(M141,'PF Uscite Sp. Corr.'!$C$1:$E$100,2,FALSE)</f>
        <v>Tassa e/o tariffa smaltimento rifiuti solidi urbani</v>
      </c>
      <c r="O141" s="131">
        <v>1132</v>
      </c>
      <c r="P141" s="614" t="str">
        <f>VLOOKUP(O141,'Centri di Costo'!$A$2:$B$179,2,FALSE)</f>
        <v>Att. Ord. Az. Vallevecchia - Parcheggio</v>
      </c>
      <c r="Q141" s="622" t="s">
        <v>1844</v>
      </c>
      <c r="R141" s="642" t="s">
        <v>523</v>
      </c>
    </row>
    <row r="142" spans="1:18" ht="28.5" customHeight="1" outlineLevel="2">
      <c r="A142" s="85" t="s">
        <v>588</v>
      </c>
      <c r="B142" s="400" t="s">
        <v>1860</v>
      </c>
      <c r="C142" s="85" t="s">
        <v>894</v>
      </c>
      <c r="D142" s="148" t="s">
        <v>7</v>
      </c>
      <c r="E142" s="87">
        <v>2018</v>
      </c>
      <c r="F142" s="88">
        <v>266</v>
      </c>
      <c r="G142" s="120" t="s">
        <v>981</v>
      </c>
      <c r="H142" s="581" t="s">
        <v>996</v>
      </c>
      <c r="I142" s="601">
        <v>400</v>
      </c>
      <c r="J142" s="595" t="s">
        <v>9</v>
      </c>
      <c r="K142" s="91">
        <v>1</v>
      </c>
      <c r="L142" s="91">
        <v>2</v>
      </c>
      <c r="M142" s="92">
        <v>19</v>
      </c>
      <c r="N142" s="119" t="str">
        <f>VLOOKUP(M142,'PF Uscite Sp. Corr.'!$C$1:$E$100,2,FALSE)</f>
        <v>Tassa di circolazione dei veicoli a motore (tassa automobilistica)</v>
      </c>
      <c r="O142" s="131">
        <v>1138</v>
      </c>
      <c r="P142" s="614" t="str">
        <f>VLOOKUP(O142,'Centri di Costo'!$A$2:$B$179,2,FALSE)</f>
        <v>Att. Ord. Az. Vallevecchia - Spese Generali</v>
      </c>
      <c r="Q142" s="622" t="s">
        <v>1844</v>
      </c>
      <c r="R142" s="642" t="s">
        <v>132</v>
      </c>
    </row>
    <row r="143" spans="1:18" ht="28.5" customHeight="1" outlineLevel="2">
      <c r="A143" s="85" t="s">
        <v>588</v>
      </c>
      <c r="B143" s="400" t="s">
        <v>1860</v>
      </c>
      <c r="C143" s="85" t="s">
        <v>894</v>
      </c>
      <c r="D143" s="148" t="s">
        <v>7</v>
      </c>
      <c r="E143" s="87">
        <v>2018</v>
      </c>
      <c r="F143" s="88">
        <v>266</v>
      </c>
      <c r="G143" s="120" t="s">
        <v>981</v>
      </c>
      <c r="H143" s="581" t="s">
        <v>995</v>
      </c>
      <c r="I143" s="601">
        <f>47500-12000</f>
        <v>35500</v>
      </c>
      <c r="J143" s="595" t="s">
        <v>9</v>
      </c>
      <c r="K143" s="91">
        <v>1</v>
      </c>
      <c r="L143" s="91">
        <v>2</v>
      </c>
      <c r="M143" s="92">
        <v>29</v>
      </c>
      <c r="N143" s="119" t="str">
        <f>VLOOKUP(M143,'PF Uscite Sp. Corr.'!$C$1:$E$100,2,FALSE)</f>
        <v>Imposte, tasse e proventi assimilati a carico dell'ente n.a.c.</v>
      </c>
      <c r="O143" s="131">
        <v>1138</v>
      </c>
      <c r="P143" s="614" t="str">
        <f>VLOOKUP(O143,'Centri di Costo'!$A$2:$B$179,2,FALSE)</f>
        <v>Att. Ord. Az. Vallevecchia - Spese Generali</v>
      </c>
      <c r="Q143" s="622" t="s">
        <v>1844</v>
      </c>
      <c r="R143" s="642" t="s">
        <v>129</v>
      </c>
    </row>
    <row r="144" spans="1:18" ht="28.5" customHeight="1" outlineLevel="2">
      <c r="A144" s="85" t="s">
        <v>588</v>
      </c>
      <c r="B144" s="400" t="s">
        <v>1860</v>
      </c>
      <c r="C144" s="85" t="s">
        <v>894</v>
      </c>
      <c r="D144" s="148" t="s">
        <v>7</v>
      </c>
      <c r="E144" s="87">
        <v>2018</v>
      </c>
      <c r="F144" s="88">
        <v>266</v>
      </c>
      <c r="G144" s="120" t="s">
        <v>981</v>
      </c>
      <c r="H144" s="581" t="s">
        <v>983</v>
      </c>
      <c r="I144" s="601">
        <v>2000</v>
      </c>
      <c r="J144" s="595" t="s">
        <v>9</v>
      </c>
      <c r="K144" s="91">
        <v>1</v>
      </c>
      <c r="L144" s="91">
        <v>3</v>
      </c>
      <c r="M144" s="92">
        <v>32</v>
      </c>
      <c r="N144" s="119" t="str">
        <f>VLOOKUP(M144,'PF Uscite Sp. Corr.'!$C$1:$E$100,2,FALSE)</f>
        <v>Altri beni di consumo</v>
      </c>
      <c r="O144" s="131">
        <v>1138</v>
      </c>
      <c r="P144" s="614" t="str">
        <f>VLOOKUP(O144,'Centri di Costo'!$A$2:$B$179,2,FALSE)</f>
        <v>Att. Ord. Az. Vallevecchia - Spese Generali</v>
      </c>
      <c r="Q144" s="619" t="s">
        <v>1996</v>
      </c>
      <c r="R144" s="642" t="s">
        <v>72</v>
      </c>
    </row>
    <row r="145" spans="1:18" ht="28.5" customHeight="1" outlineLevel="2">
      <c r="A145" s="85" t="s">
        <v>588</v>
      </c>
      <c r="B145" s="400" t="s">
        <v>1860</v>
      </c>
      <c r="C145" s="85" t="s">
        <v>894</v>
      </c>
      <c r="D145" s="148" t="s">
        <v>7</v>
      </c>
      <c r="E145" s="87">
        <v>2018</v>
      </c>
      <c r="F145" s="88">
        <v>266</v>
      </c>
      <c r="G145" s="120" t="s">
        <v>981</v>
      </c>
      <c r="H145" s="581" t="s">
        <v>993</v>
      </c>
      <c r="I145" s="601">
        <v>500</v>
      </c>
      <c r="J145" s="595" t="s">
        <v>9</v>
      </c>
      <c r="K145" s="91">
        <v>1</v>
      </c>
      <c r="L145" s="91">
        <v>3</v>
      </c>
      <c r="M145" s="92">
        <v>32</v>
      </c>
      <c r="N145" s="119" t="str">
        <f>VLOOKUP(M145,'PF Uscite Sp. Corr.'!$C$1:$E$100,2,FALSE)</f>
        <v>Altri beni di consumo</v>
      </c>
      <c r="O145" s="131">
        <v>1138</v>
      </c>
      <c r="P145" s="614" t="str">
        <f>VLOOKUP(O145,'Centri di Costo'!$A$2:$B$179,2,FALSE)</f>
        <v>Att. Ord. Az. Vallevecchia - Spese Generali</v>
      </c>
      <c r="Q145" s="619" t="s">
        <v>1996</v>
      </c>
      <c r="R145" s="642" t="s">
        <v>190</v>
      </c>
    </row>
    <row r="146" spans="1:18" ht="28.5" customHeight="1" outlineLevel="2">
      <c r="A146" s="85" t="s">
        <v>588</v>
      </c>
      <c r="B146" s="400" t="s">
        <v>1860</v>
      </c>
      <c r="C146" s="85" t="s">
        <v>894</v>
      </c>
      <c r="D146" s="148" t="s">
        <v>7</v>
      </c>
      <c r="E146" s="87">
        <v>2018</v>
      </c>
      <c r="F146" s="88">
        <v>266</v>
      </c>
      <c r="G146" s="120" t="s">
        <v>981</v>
      </c>
      <c r="H146" s="581" t="s">
        <v>994</v>
      </c>
      <c r="I146" s="601">
        <v>500</v>
      </c>
      <c r="J146" s="595" t="s">
        <v>9</v>
      </c>
      <c r="K146" s="91">
        <v>1</v>
      </c>
      <c r="L146" s="91">
        <v>3</v>
      </c>
      <c r="M146" s="92">
        <v>32</v>
      </c>
      <c r="N146" s="119" t="str">
        <f>VLOOKUP(M146,'PF Uscite Sp. Corr.'!$C$1:$E$100,2,FALSE)</f>
        <v>Altri beni di consumo</v>
      </c>
      <c r="O146" s="131">
        <v>1138</v>
      </c>
      <c r="P146" s="614" t="str">
        <f>VLOOKUP(O146,'Centri di Costo'!$A$2:$B$179,2,FALSE)</f>
        <v>Att. Ord. Az. Vallevecchia - Spese Generali</v>
      </c>
      <c r="Q146" s="619" t="s">
        <v>1996</v>
      </c>
      <c r="R146" s="642" t="s">
        <v>190</v>
      </c>
    </row>
    <row r="147" spans="1:18" ht="28.5" customHeight="1" outlineLevel="2">
      <c r="A147" s="85" t="s">
        <v>588</v>
      </c>
      <c r="B147" s="400" t="s">
        <v>1860</v>
      </c>
      <c r="C147" s="85" t="s">
        <v>894</v>
      </c>
      <c r="D147" s="148" t="s">
        <v>7</v>
      </c>
      <c r="E147" s="87">
        <v>2018</v>
      </c>
      <c r="F147" s="88">
        <v>266</v>
      </c>
      <c r="G147" s="120" t="s">
        <v>981</v>
      </c>
      <c r="H147" s="581" t="s">
        <v>997</v>
      </c>
      <c r="I147" s="601">
        <v>1400</v>
      </c>
      <c r="J147" s="595" t="s">
        <v>9</v>
      </c>
      <c r="K147" s="91">
        <v>1</v>
      </c>
      <c r="L147" s="91">
        <v>3</v>
      </c>
      <c r="M147" s="92">
        <v>32</v>
      </c>
      <c r="N147" s="119" t="str">
        <f>VLOOKUP(M147,'PF Uscite Sp. Corr.'!$C$1:$E$100,2,FALSE)</f>
        <v>Altri beni di consumo</v>
      </c>
      <c r="O147" s="131">
        <v>1138</v>
      </c>
      <c r="P147" s="614" t="str">
        <f>VLOOKUP(O147,'Centri di Costo'!$A$2:$B$179,2,FALSE)</f>
        <v>Att. Ord. Az. Vallevecchia - Spese Generali</v>
      </c>
      <c r="Q147" s="619" t="s">
        <v>2014</v>
      </c>
      <c r="R147" s="642" t="s">
        <v>113</v>
      </c>
    </row>
    <row r="148" spans="1:18" ht="28.5" customHeight="1" outlineLevel="2">
      <c r="A148" s="85" t="s">
        <v>588</v>
      </c>
      <c r="B148" s="400" t="s">
        <v>1860</v>
      </c>
      <c r="C148" s="85" t="s">
        <v>894</v>
      </c>
      <c r="D148" s="148" t="s">
        <v>7</v>
      </c>
      <c r="E148" s="87">
        <v>2018</v>
      </c>
      <c r="F148" s="88">
        <v>266</v>
      </c>
      <c r="G148" s="120" t="s">
        <v>981</v>
      </c>
      <c r="H148" s="581" t="s">
        <v>998</v>
      </c>
      <c r="I148" s="601">
        <v>900</v>
      </c>
      <c r="J148" s="595" t="s">
        <v>9</v>
      </c>
      <c r="K148" s="91">
        <v>1</v>
      </c>
      <c r="L148" s="91">
        <v>3</v>
      </c>
      <c r="M148" s="92">
        <v>32</v>
      </c>
      <c r="N148" s="119" t="str">
        <f>VLOOKUP(M148,'PF Uscite Sp. Corr.'!$C$1:$E$100,2,FALSE)</f>
        <v>Altri beni di consumo</v>
      </c>
      <c r="O148" s="131">
        <v>1138</v>
      </c>
      <c r="P148" s="614" t="str">
        <f>VLOOKUP(O148,'Centri di Costo'!$A$2:$B$179,2,FALSE)</f>
        <v>Att. Ord. Az. Vallevecchia - Spese Generali</v>
      </c>
      <c r="Q148" s="619" t="s">
        <v>1996</v>
      </c>
      <c r="R148" s="642" t="s">
        <v>107</v>
      </c>
    </row>
    <row r="149" spans="1:18" ht="28.5" customHeight="1" outlineLevel="2">
      <c r="A149" s="85" t="s">
        <v>588</v>
      </c>
      <c r="B149" s="400" t="s">
        <v>1860</v>
      </c>
      <c r="C149" s="85" t="s">
        <v>894</v>
      </c>
      <c r="D149" s="148" t="s">
        <v>7</v>
      </c>
      <c r="E149" s="87">
        <v>2018</v>
      </c>
      <c r="F149" s="88">
        <v>266</v>
      </c>
      <c r="G149" s="120" t="s">
        <v>981</v>
      </c>
      <c r="H149" s="581" t="s">
        <v>999</v>
      </c>
      <c r="I149" s="601">
        <v>500</v>
      </c>
      <c r="J149" s="595" t="s">
        <v>9</v>
      </c>
      <c r="K149" s="91">
        <v>1</v>
      </c>
      <c r="L149" s="91">
        <v>3</v>
      </c>
      <c r="M149" s="92">
        <v>32</v>
      </c>
      <c r="N149" s="119" t="str">
        <f>VLOOKUP(M149,'PF Uscite Sp. Corr.'!$C$1:$E$100,2,FALSE)</f>
        <v>Altri beni di consumo</v>
      </c>
      <c r="O149" s="131">
        <v>1138</v>
      </c>
      <c r="P149" s="614" t="str">
        <f>VLOOKUP(O149,'Centri di Costo'!$A$2:$B$179,2,FALSE)</f>
        <v>Att. Ord. Az. Vallevecchia - Spese Generali</v>
      </c>
      <c r="Q149" s="619" t="s">
        <v>1996</v>
      </c>
      <c r="R149" s="642" t="s">
        <v>190</v>
      </c>
    </row>
    <row r="150" spans="1:18" ht="28.5" customHeight="1" outlineLevel="2">
      <c r="A150" s="85" t="s">
        <v>588</v>
      </c>
      <c r="B150" s="400" t="s">
        <v>1860</v>
      </c>
      <c r="C150" s="85" t="s">
        <v>894</v>
      </c>
      <c r="D150" s="148" t="s">
        <v>7</v>
      </c>
      <c r="E150" s="87">
        <v>2018</v>
      </c>
      <c r="F150" s="88">
        <v>72</v>
      </c>
      <c r="G150" s="120" t="s">
        <v>958</v>
      </c>
      <c r="H150" s="581" t="s">
        <v>1550</v>
      </c>
      <c r="I150" s="601">
        <v>220</v>
      </c>
      <c r="J150" s="595" t="s">
        <v>9</v>
      </c>
      <c r="K150" s="91">
        <v>1</v>
      </c>
      <c r="L150" s="91">
        <v>3</v>
      </c>
      <c r="M150" s="92">
        <v>32</v>
      </c>
      <c r="N150" s="119" t="str">
        <f>VLOOKUP(M150,'PF Uscite Sp. Corr.'!$C$1:$E$100,2,FALSE)</f>
        <v>Altri beni di consumo</v>
      </c>
      <c r="O150" s="131">
        <v>1131</v>
      </c>
      <c r="P150" s="614" t="str">
        <f>VLOOKUP(O150,'Centri di Costo'!$A$2:$B$179,2,FALSE)</f>
        <v>Att. Ord. Az. Vallevecchia - Seminativi</v>
      </c>
      <c r="Q150" s="619" t="s">
        <v>1996</v>
      </c>
      <c r="R150" s="642" t="s">
        <v>579</v>
      </c>
    </row>
    <row r="151" spans="1:18" ht="28.5" customHeight="1" outlineLevel="2">
      <c r="A151" s="85" t="s">
        <v>588</v>
      </c>
      <c r="B151" s="400" t="s">
        <v>1860</v>
      </c>
      <c r="C151" s="85" t="s">
        <v>894</v>
      </c>
      <c r="D151" s="148" t="s">
        <v>7</v>
      </c>
      <c r="E151" s="87">
        <v>2018</v>
      </c>
      <c r="F151" s="88">
        <v>72</v>
      </c>
      <c r="G151" s="120" t="s">
        <v>958</v>
      </c>
      <c r="H151" s="581" t="s">
        <v>965</v>
      </c>
      <c r="I151" s="601">
        <v>1500</v>
      </c>
      <c r="J151" s="595" t="s">
        <v>9</v>
      </c>
      <c r="K151" s="91">
        <v>1</v>
      </c>
      <c r="L151" s="91">
        <v>3</v>
      </c>
      <c r="M151" s="92">
        <v>32</v>
      </c>
      <c r="N151" s="119" t="str">
        <f>VLOOKUP(M151,'PF Uscite Sp. Corr.'!$C$1:$E$100,2,FALSE)</f>
        <v>Altri beni di consumo</v>
      </c>
      <c r="O151" s="131">
        <v>1131</v>
      </c>
      <c r="P151" s="614" t="str">
        <f>VLOOKUP(O151,'Centri di Costo'!$A$2:$B$179,2,FALSE)</f>
        <v>Att. Ord. Az. Vallevecchia - Seminativi</v>
      </c>
      <c r="Q151" s="619" t="s">
        <v>1996</v>
      </c>
      <c r="R151" s="642" t="s">
        <v>966</v>
      </c>
    </row>
    <row r="152" spans="1:18" ht="28.5" customHeight="1" outlineLevel="2">
      <c r="A152" s="85" t="s">
        <v>588</v>
      </c>
      <c r="B152" s="400" t="s">
        <v>1860</v>
      </c>
      <c r="C152" s="85" t="s">
        <v>894</v>
      </c>
      <c r="D152" s="148" t="s">
        <v>7</v>
      </c>
      <c r="E152" s="87">
        <v>2018</v>
      </c>
      <c r="F152" s="88">
        <v>72</v>
      </c>
      <c r="G152" s="120" t="s">
        <v>958</v>
      </c>
      <c r="H152" s="581" t="s">
        <v>970</v>
      </c>
      <c r="I152" s="601">
        <v>1250</v>
      </c>
      <c r="J152" s="595" t="s">
        <v>9</v>
      </c>
      <c r="K152" s="91">
        <v>1</v>
      </c>
      <c r="L152" s="91">
        <v>3</v>
      </c>
      <c r="M152" s="92">
        <v>32</v>
      </c>
      <c r="N152" s="119" t="str">
        <f>VLOOKUP(M152,'PF Uscite Sp. Corr.'!$C$1:$E$100,2,FALSE)</f>
        <v>Altri beni di consumo</v>
      </c>
      <c r="O152" s="131">
        <v>1131</v>
      </c>
      <c r="P152" s="614" t="str">
        <f>VLOOKUP(O152,'Centri di Costo'!$A$2:$B$179,2,FALSE)</f>
        <v>Att. Ord. Az. Vallevecchia - Seminativi</v>
      </c>
      <c r="Q152" s="619" t="s">
        <v>1996</v>
      </c>
      <c r="R152" s="642" t="s">
        <v>581</v>
      </c>
    </row>
    <row r="153" spans="1:18" ht="28.5" customHeight="1" outlineLevel="2">
      <c r="A153" s="85" t="s">
        <v>588</v>
      </c>
      <c r="B153" s="400" t="s">
        <v>1860</v>
      </c>
      <c r="C153" s="85" t="s">
        <v>894</v>
      </c>
      <c r="D153" s="148" t="s">
        <v>7</v>
      </c>
      <c r="E153" s="87">
        <v>2018</v>
      </c>
      <c r="F153" s="88">
        <v>72</v>
      </c>
      <c r="G153" s="120" t="s">
        <v>958</v>
      </c>
      <c r="H153" s="581" t="s">
        <v>971</v>
      </c>
      <c r="I153" s="601">
        <v>40000</v>
      </c>
      <c r="J153" s="595" t="s">
        <v>9</v>
      </c>
      <c r="K153" s="91">
        <v>1</v>
      </c>
      <c r="L153" s="91">
        <v>3</v>
      </c>
      <c r="M153" s="92">
        <v>32</v>
      </c>
      <c r="N153" s="119" t="str">
        <f>VLOOKUP(M153,'PF Uscite Sp. Corr.'!$C$1:$E$100,2,FALSE)</f>
        <v>Altri beni di consumo</v>
      </c>
      <c r="O153" s="131">
        <v>1131</v>
      </c>
      <c r="P153" s="614" t="str">
        <f>VLOOKUP(O153,'Centri di Costo'!$A$2:$B$179,2,FALSE)</f>
        <v>Att. Ord. Az. Vallevecchia - Seminativi</v>
      </c>
      <c r="Q153" s="619" t="s">
        <v>1996</v>
      </c>
      <c r="R153" s="642" t="s">
        <v>581</v>
      </c>
    </row>
    <row r="154" spans="1:18" ht="28.5" customHeight="1" outlineLevel="2">
      <c r="A154" s="85" t="s">
        <v>588</v>
      </c>
      <c r="B154" s="400" t="s">
        <v>1860</v>
      </c>
      <c r="C154" s="85" t="s">
        <v>894</v>
      </c>
      <c r="D154" s="148" t="s">
        <v>7</v>
      </c>
      <c r="E154" s="87">
        <v>2018</v>
      </c>
      <c r="F154" s="88">
        <v>72</v>
      </c>
      <c r="G154" s="120" t="s">
        <v>958</v>
      </c>
      <c r="H154" s="581" t="s">
        <v>972</v>
      </c>
      <c r="I154" s="601">
        <f>185000-5000</f>
        <v>180000</v>
      </c>
      <c r="J154" s="595" t="s">
        <v>9</v>
      </c>
      <c r="K154" s="91">
        <v>1</v>
      </c>
      <c r="L154" s="91">
        <v>3</v>
      </c>
      <c r="M154" s="92">
        <v>32</v>
      </c>
      <c r="N154" s="119" t="str">
        <f>VLOOKUP(M154,'PF Uscite Sp. Corr.'!$C$1:$E$100,2,FALSE)</f>
        <v>Altri beni di consumo</v>
      </c>
      <c r="O154" s="131">
        <v>1131</v>
      </c>
      <c r="P154" s="614" t="str">
        <f>VLOOKUP(O154,'Centri di Costo'!$A$2:$B$179,2,FALSE)</f>
        <v>Att. Ord. Az. Vallevecchia - Seminativi</v>
      </c>
      <c r="Q154" s="619" t="s">
        <v>1996</v>
      </c>
      <c r="R154" s="642" t="s">
        <v>579</v>
      </c>
    </row>
    <row r="155" spans="1:18" ht="28.5" customHeight="1" outlineLevel="2">
      <c r="A155" s="85" t="s">
        <v>588</v>
      </c>
      <c r="B155" s="400" t="s">
        <v>1860</v>
      </c>
      <c r="C155" s="85" t="s">
        <v>894</v>
      </c>
      <c r="D155" s="148" t="s">
        <v>7</v>
      </c>
      <c r="E155" s="87">
        <v>2018</v>
      </c>
      <c r="F155" s="88">
        <v>72</v>
      </c>
      <c r="G155" s="120" t="s">
        <v>958</v>
      </c>
      <c r="H155" s="581" t="s">
        <v>974</v>
      </c>
      <c r="I155" s="601">
        <v>5000</v>
      </c>
      <c r="J155" s="595" t="s">
        <v>9</v>
      </c>
      <c r="K155" s="91">
        <v>1</v>
      </c>
      <c r="L155" s="91">
        <v>3</v>
      </c>
      <c r="M155" s="92">
        <v>32</v>
      </c>
      <c r="N155" s="119" t="str">
        <f>VLOOKUP(M155,'PF Uscite Sp. Corr.'!$C$1:$E$100,2,FALSE)</f>
        <v>Altri beni di consumo</v>
      </c>
      <c r="O155" s="131">
        <v>1131</v>
      </c>
      <c r="P155" s="614" t="str">
        <f>VLOOKUP(O155,'Centri di Costo'!$A$2:$B$179,2,FALSE)</f>
        <v>Att. Ord. Az. Vallevecchia - Seminativi</v>
      </c>
      <c r="Q155" s="619" t="s">
        <v>1996</v>
      </c>
      <c r="R155" s="642" t="s">
        <v>578</v>
      </c>
    </row>
    <row r="156" spans="1:18" ht="28.5" customHeight="1" outlineLevel="2">
      <c r="A156" s="85" t="s">
        <v>588</v>
      </c>
      <c r="B156" s="400" t="s">
        <v>1860</v>
      </c>
      <c r="C156" s="85" t="s">
        <v>894</v>
      </c>
      <c r="D156" s="148" t="s">
        <v>7</v>
      </c>
      <c r="E156" s="87">
        <v>2018</v>
      </c>
      <c r="F156" s="88">
        <v>72</v>
      </c>
      <c r="G156" s="120" t="s">
        <v>958</v>
      </c>
      <c r="H156" s="581" t="s">
        <v>1558</v>
      </c>
      <c r="I156" s="601">
        <v>3000</v>
      </c>
      <c r="J156" s="595" t="s">
        <v>9</v>
      </c>
      <c r="K156" s="91">
        <v>1</v>
      </c>
      <c r="L156" s="91">
        <v>3</v>
      </c>
      <c r="M156" s="92">
        <v>32</v>
      </c>
      <c r="N156" s="119" t="str">
        <f>VLOOKUP(M156,'PF Uscite Sp. Corr.'!$C$1:$E$100,2,FALSE)</f>
        <v>Altri beni di consumo</v>
      </c>
      <c r="O156" s="131">
        <v>1131</v>
      </c>
      <c r="P156" s="614" t="str">
        <f>VLOOKUP(O156,'Centri di Costo'!$A$2:$B$179,2,FALSE)</f>
        <v>Att. Ord. Az. Vallevecchia - Seminativi</v>
      </c>
      <c r="Q156" s="619" t="s">
        <v>1996</v>
      </c>
      <c r="R156" s="642" t="s">
        <v>580</v>
      </c>
    </row>
    <row r="157" spans="1:18" ht="28.5" customHeight="1" outlineLevel="2">
      <c r="A157" s="85" t="s">
        <v>588</v>
      </c>
      <c r="B157" s="400" t="s">
        <v>1860</v>
      </c>
      <c r="C157" s="85" t="s">
        <v>894</v>
      </c>
      <c r="D157" s="148" t="s">
        <v>7</v>
      </c>
      <c r="E157" s="87">
        <v>2018</v>
      </c>
      <c r="F157" s="88">
        <v>74</v>
      </c>
      <c r="G157" s="120" t="s">
        <v>975</v>
      </c>
      <c r="H157" s="581" t="s">
        <v>1559</v>
      </c>
      <c r="I157" s="601">
        <v>5000</v>
      </c>
      <c r="J157" s="595" t="s">
        <v>9</v>
      </c>
      <c r="K157" s="91">
        <v>1</v>
      </c>
      <c r="L157" s="91">
        <v>3</v>
      </c>
      <c r="M157" s="92">
        <v>32</v>
      </c>
      <c r="N157" s="119" t="str">
        <f>VLOOKUP(M157,'PF Uscite Sp. Corr.'!$C$1:$E$100,2,FALSE)</f>
        <v>Altri beni di consumo</v>
      </c>
      <c r="O157" s="131">
        <v>1132</v>
      </c>
      <c r="P157" s="614" t="str">
        <f>VLOOKUP(O157,'Centri di Costo'!$A$2:$B$179,2,FALSE)</f>
        <v>Att. Ord. Az. Vallevecchia - Parcheggio</v>
      </c>
      <c r="Q157" s="619" t="s">
        <v>1996</v>
      </c>
      <c r="R157" s="642" t="s">
        <v>578</v>
      </c>
    </row>
    <row r="158" spans="1:18" ht="28.5" customHeight="1" outlineLevel="2">
      <c r="A158" s="85" t="s">
        <v>588</v>
      </c>
      <c r="B158" s="400" t="s">
        <v>1860</v>
      </c>
      <c r="C158" s="85" t="s">
        <v>894</v>
      </c>
      <c r="D158" s="148" t="s">
        <v>7</v>
      </c>
      <c r="E158" s="87">
        <v>2018</v>
      </c>
      <c r="F158" s="88">
        <v>76</v>
      </c>
      <c r="G158" s="120" t="s">
        <v>977</v>
      </c>
      <c r="H158" s="581" t="s">
        <v>1560</v>
      </c>
      <c r="I158" s="601">
        <v>2400</v>
      </c>
      <c r="J158" s="595" t="s">
        <v>9</v>
      </c>
      <c r="K158" s="91">
        <v>1</v>
      </c>
      <c r="L158" s="91">
        <v>3</v>
      </c>
      <c r="M158" s="92">
        <v>32</v>
      </c>
      <c r="N158" s="119" t="str">
        <f>VLOOKUP(M158,'PF Uscite Sp. Corr.'!$C$1:$E$100,2,FALSE)</f>
        <v>Altri beni di consumo</v>
      </c>
      <c r="O158" s="131">
        <v>1133</v>
      </c>
      <c r="P158" s="614" t="str">
        <f>VLOOKUP(O158,'Centri di Costo'!$A$2:$B$179,2,FALSE)</f>
        <v>Att. Ord. VV - Gestione Impianti Innov. x Acqua</v>
      </c>
      <c r="Q158" s="619" t="s">
        <v>1996</v>
      </c>
      <c r="R158" s="642" t="s">
        <v>579</v>
      </c>
    </row>
    <row r="159" spans="1:18" ht="28.5" customHeight="1" outlineLevel="2">
      <c r="A159" s="85" t="s">
        <v>588</v>
      </c>
      <c r="B159" s="400" t="s">
        <v>1860</v>
      </c>
      <c r="C159" s="85" t="s">
        <v>894</v>
      </c>
      <c r="D159" s="148" t="s">
        <v>7</v>
      </c>
      <c r="E159" s="87">
        <v>2018</v>
      </c>
      <c r="F159" s="88">
        <v>266</v>
      </c>
      <c r="G159" s="120" t="s">
        <v>981</v>
      </c>
      <c r="H159" s="581" t="s">
        <v>1635</v>
      </c>
      <c r="I159" s="601">
        <v>800</v>
      </c>
      <c r="J159" s="595" t="s">
        <v>9</v>
      </c>
      <c r="K159" s="91">
        <v>1</v>
      </c>
      <c r="L159" s="91">
        <v>3</v>
      </c>
      <c r="M159" s="92">
        <v>45</v>
      </c>
      <c r="N159" s="119" t="str">
        <f>VLOOKUP(M159,'PF Uscite Sp. Corr.'!$C$1:$E$100,2,FALSE)</f>
        <v>Utenze e canoni</v>
      </c>
      <c r="O159" s="131">
        <v>1138</v>
      </c>
      <c r="P159" s="614" t="str">
        <f>VLOOKUP(O159,'Centri di Costo'!$A$2:$B$179,2,FALSE)</f>
        <v>Att. Ord. Az. Vallevecchia - Spese Generali</v>
      </c>
      <c r="Q159" s="619" t="s">
        <v>1996</v>
      </c>
      <c r="R159" s="642" t="s">
        <v>464</v>
      </c>
    </row>
    <row r="160" spans="1:18" ht="28.5" customHeight="1" outlineLevel="2">
      <c r="A160" s="85" t="s">
        <v>588</v>
      </c>
      <c r="B160" s="400" t="s">
        <v>1860</v>
      </c>
      <c r="C160" s="85" t="s">
        <v>894</v>
      </c>
      <c r="D160" s="148" t="s">
        <v>7</v>
      </c>
      <c r="E160" s="87">
        <v>2018</v>
      </c>
      <c r="F160" s="88">
        <v>266</v>
      </c>
      <c r="G160" s="120" t="s">
        <v>981</v>
      </c>
      <c r="H160" s="581" t="s">
        <v>987</v>
      </c>
      <c r="I160" s="601">
        <v>700</v>
      </c>
      <c r="J160" s="595" t="s">
        <v>9</v>
      </c>
      <c r="K160" s="91">
        <v>1</v>
      </c>
      <c r="L160" s="91">
        <v>3</v>
      </c>
      <c r="M160" s="92">
        <v>42</v>
      </c>
      <c r="N160" s="119" t="str">
        <f>VLOOKUP(M160,'PF Uscite Sp. Corr.'!$C$1:$E$100,2,FALSE)</f>
        <v>Rimborso viaggio e Indennità di missione e trasferta</v>
      </c>
      <c r="O160" s="131">
        <v>1138</v>
      </c>
      <c r="P160" s="614" t="str">
        <f>VLOOKUP(O160,'Centri di Costo'!$A$2:$B$179,2,FALSE)</f>
        <v>Att. Ord. Az. Vallevecchia - Spese Generali</v>
      </c>
      <c r="Q160" s="619" t="s">
        <v>1996</v>
      </c>
      <c r="R160" s="642" t="s">
        <v>74</v>
      </c>
    </row>
    <row r="161" spans="1:18" ht="28.5" customHeight="1" outlineLevel="2">
      <c r="A161" s="85" t="s">
        <v>588</v>
      </c>
      <c r="B161" s="400" t="s">
        <v>1860</v>
      </c>
      <c r="C161" s="85" t="s">
        <v>894</v>
      </c>
      <c r="D161" s="148" t="s">
        <v>7</v>
      </c>
      <c r="E161" s="87">
        <v>2018</v>
      </c>
      <c r="F161" s="88">
        <v>266</v>
      </c>
      <c r="G161" s="120" t="s">
        <v>981</v>
      </c>
      <c r="H161" s="581" t="s">
        <v>991</v>
      </c>
      <c r="I161" s="601">
        <v>2500</v>
      </c>
      <c r="J161" s="595" t="s">
        <v>9</v>
      </c>
      <c r="K161" s="91">
        <v>1</v>
      </c>
      <c r="L161" s="91">
        <v>3</v>
      </c>
      <c r="M161" s="92">
        <v>44</v>
      </c>
      <c r="N161" s="119" t="str">
        <f>VLOOKUP(M161,'PF Uscite Sp. Corr.'!$C$1:$E$100,2,FALSE)</f>
        <v>Acquisto di servizi per formazione e addestramento del personale dell'ente</v>
      </c>
      <c r="O161" s="131">
        <v>1138</v>
      </c>
      <c r="P161" s="614" t="str">
        <f>VLOOKUP(O161,'Centri di Costo'!$A$2:$B$179,2,FALSE)</f>
        <v>Att. Ord. Az. Vallevecchia - Spese Generali</v>
      </c>
      <c r="Q161" s="619" t="s">
        <v>1996</v>
      </c>
      <c r="R161" s="642" t="s">
        <v>156</v>
      </c>
    </row>
    <row r="162" spans="1:18" ht="28.5" customHeight="1" outlineLevel="2">
      <c r="A162" s="85" t="s">
        <v>588</v>
      </c>
      <c r="B162" s="400" t="s">
        <v>1860</v>
      </c>
      <c r="C162" s="85" t="s">
        <v>894</v>
      </c>
      <c r="D162" s="148" t="s">
        <v>7</v>
      </c>
      <c r="E162" s="87">
        <v>2018</v>
      </c>
      <c r="F162" s="88">
        <v>266</v>
      </c>
      <c r="G162" s="120" t="s">
        <v>981</v>
      </c>
      <c r="H162" s="581" t="s">
        <v>982</v>
      </c>
      <c r="I162" s="601">
        <f>12000+3000</f>
        <v>15000</v>
      </c>
      <c r="J162" s="595" t="s">
        <v>9</v>
      </c>
      <c r="K162" s="91">
        <v>1</v>
      </c>
      <c r="L162" s="91">
        <v>3</v>
      </c>
      <c r="M162" s="92">
        <v>45</v>
      </c>
      <c r="N162" s="119" t="str">
        <f>VLOOKUP(M162,'PF Uscite Sp. Corr.'!$C$1:$E$100,2,FALSE)</f>
        <v>Utenze e canoni</v>
      </c>
      <c r="O162" s="131">
        <v>1138</v>
      </c>
      <c r="P162" s="614" t="str">
        <f>VLOOKUP(O162,'Centri di Costo'!$A$2:$B$179,2,FALSE)</f>
        <v>Att. Ord. Az. Vallevecchia - Spese Generali</v>
      </c>
      <c r="Q162" s="624" t="s">
        <v>2014</v>
      </c>
      <c r="R162" s="642" t="s">
        <v>58</v>
      </c>
    </row>
    <row r="163" spans="1:18" ht="28.5" customHeight="1" outlineLevel="2">
      <c r="A163" s="85" t="s">
        <v>588</v>
      </c>
      <c r="B163" s="400" t="s">
        <v>1860</v>
      </c>
      <c r="C163" s="85" t="s">
        <v>894</v>
      </c>
      <c r="D163" s="148" t="s">
        <v>7</v>
      </c>
      <c r="E163" s="87">
        <v>2018</v>
      </c>
      <c r="F163" s="88">
        <v>266</v>
      </c>
      <c r="G163" s="120" t="s">
        <v>981</v>
      </c>
      <c r="H163" s="581" t="s">
        <v>984</v>
      </c>
      <c r="I163" s="601">
        <f>7000+3000</f>
        <v>10000</v>
      </c>
      <c r="J163" s="595" t="s">
        <v>9</v>
      </c>
      <c r="K163" s="91">
        <v>1</v>
      </c>
      <c r="L163" s="91">
        <v>3</v>
      </c>
      <c r="M163" s="92">
        <v>45</v>
      </c>
      <c r="N163" s="119" t="str">
        <f>VLOOKUP(M163,'PF Uscite Sp. Corr.'!$C$1:$E$100,2,FALSE)</f>
        <v>Utenze e canoni</v>
      </c>
      <c r="O163" s="131">
        <v>1138</v>
      </c>
      <c r="P163" s="614" t="str">
        <f>VLOOKUP(O163,'Centri di Costo'!$A$2:$B$179,2,FALSE)</f>
        <v>Att. Ord. Az. Vallevecchia - Spese Generali</v>
      </c>
      <c r="Q163" s="619" t="s">
        <v>1996</v>
      </c>
      <c r="R163" s="642" t="s">
        <v>67</v>
      </c>
    </row>
    <row r="164" spans="1:18" ht="28.5" customHeight="1" outlineLevel="2">
      <c r="A164" s="85" t="s">
        <v>588</v>
      </c>
      <c r="B164" s="400" t="s">
        <v>1860</v>
      </c>
      <c r="C164" s="85" t="s">
        <v>894</v>
      </c>
      <c r="D164" s="148" t="s">
        <v>7</v>
      </c>
      <c r="E164" s="87">
        <v>2018</v>
      </c>
      <c r="F164" s="88">
        <v>266</v>
      </c>
      <c r="G164" s="120" t="s">
        <v>981</v>
      </c>
      <c r="H164" s="581" t="s">
        <v>985</v>
      </c>
      <c r="I164" s="601">
        <v>2500</v>
      </c>
      <c r="J164" s="595" t="s">
        <v>9</v>
      </c>
      <c r="K164" s="91">
        <v>1</v>
      </c>
      <c r="L164" s="91">
        <v>3</v>
      </c>
      <c r="M164" s="92">
        <v>45</v>
      </c>
      <c r="N164" s="119" t="str">
        <f>VLOOKUP(M164,'PF Uscite Sp. Corr.'!$C$1:$E$100,2,FALSE)</f>
        <v>Utenze e canoni</v>
      </c>
      <c r="O164" s="131">
        <v>1138</v>
      </c>
      <c r="P164" s="614" t="str">
        <f>VLOOKUP(O164,'Centri di Costo'!$A$2:$B$179,2,FALSE)</f>
        <v>Att. Ord. Az. Vallevecchia - Spese Generali</v>
      </c>
      <c r="Q164" s="624" t="s">
        <v>2014</v>
      </c>
      <c r="R164" s="642" t="s">
        <v>65</v>
      </c>
    </row>
    <row r="165" spans="1:18" ht="28.5" customHeight="1" outlineLevel="2">
      <c r="A165" s="85" t="s">
        <v>588</v>
      </c>
      <c r="B165" s="400" t="s">
        <v>1860</v>
      </c>
      <c r="C165" s="85" t="s">
        <v>894</v>
      </c>
      <c r="D165" s="148" t="s">
        <v>7</v>
      </c>
      <c r="E165" s="87">
        <v>2018</v>
      </c>
      <c r="F165" s="88">
        <v>266</v>
      </c>
      <c r="G165" s="120" t="s">
        <v>981</v>
      </c>
      <c r="H165" s="581" t="s">
        <v>990</v>
      </c>
      <c r="I165" s="601">
        <v>400</v>
      </c>
      <c r="J165" s="595" t="s">
        <v>9</v>
      </c>
      <c r="K165" s="91">
        <v>1</v>
      </c>
      <c r="L165" s="91">
        <v>3</v>
      </c>
      <c r="M165" s="92">
        <v>45</v>
      </c>
      <c r="N165" s="119" t="str">
        <f>VLOOKUP(M165,'PF Uscite Sp. Corr.'!$C$1:$E$100,2,FALSE)</f>
        <v>Utenze e canoni</v>
      </c>
      <c r="O165" s="131">
        <v>1138</v>
      </c>
      <c r="P165" s="614" t="str">
        <f>VLOOKUP(O165,'Centri di Costo'!$A$2:$B$179,2,FALSE)</f>
        <v>Att. Ord. Az. Vallevecchia - Spese Generali</v>
      </c>
      <c r="Q165" s="619" t="s">
        <v>1996</v>
      </c>
      <c r="R165" s="642" t="s">
        <v>105</v>
      </c>
    </row>
    <row r="166" spans="1:18" ht="28.5" customHeight="1" outlineLevel="2">
      <c r="A166" s="85" t="s">
        <v>588</v>
      </c>
      <c r="B166" s="400" t="s">
        <v>1860</v>
      </c>
      <c r="C166" s="85" t="s">
        <v>894</v>
      </c>
      <c r="D166" s="148" t="s">
        <v>7</v>
      </c>
      <c r="E166" s="87">
        <v>2018</v>
      </c>
      <c r="F166" s="88">
        <v>266</v>
      </c>
      <c r="G166" s="120" t="s">
        <v>981</v>
      </c>
      <c r="H166" s="581" t="s">
        <v>2031</v>
      </c>
      <c r="I166" s="601">
        <v>0</v>
      </c>
      <c r="J166" s="595" t="s">
        <v>9</v>
      </c>
      <c r="K166" s="91">
        <v>1</v>
      </c>
      <c r="L166" s="91">
        <v>3</v>
      </c>
      <c r="M166" s="92">
        <v>45</v>
      </c>
      <c r="N166" s="119" t="str">
        <f>VLOOKUP(M166,'PF Uscite Sp. Corr.'!$C$1:$E$100,2,FALSE)</f>
        <v>Utenze e canoni</v>
      </c>
      <c r="O166" s="131">
        <v>1138</v>
      </c>
      <c r="P166" s="614" t="str">
        <f>VLOOKUP(O166,'Centri di Costo'!$A$2:$B$179,2,FALSE)</f>
        <v>Att. Ord. Az. Vallevecchia - Spese Generali</v>
      </c>
      <c r="Q166" s="624" t="s">
        <v>2014</v>
      </c>
      <c r="R166" s="642" t="s">
        <v>77</v>
      </c>
    </row>
    <row r="167" spans="1:18" ht="28.5" customHeight="1" outlineLevel="2">
      <c r="A167" s="85" t="s">
        <v>588</v>
      </c>
      <c r="B167" s="400" t="s">
        <v>1860</v>
      </c>
      <c r="C167" s="85" t="s">
        <v>894</v>
      </c>
      <c r="D167" s="148" t="s">
        <v>7</v>
      </c>
      <c r="E167" s="87">
        <v>2018</v>
      </c>
      <c r="F167" s="88">
        <v>72</v>
      </c>
      <c r="G167" s="120" t="s">
        <v>958</v>
      </c>
      <c r="H167" s="581" t="s">
        <v>1561</v>
      </c>
      <c r="I167" s="601">
        <v>2000</v>
      </c>
      <c r="J167" s="595" t="s">
        <v>9</v>
      </c>
      <c r="K167" s="91">
        <v>1</v>
      </c>
      <c r="L167" s="91">
        <v>3</v>
      </c>
      <c r="M167" s="92">
        <v>47</v>
      </c>
      <c r="N167" s="119" t="str">
        <f>VLOOKUP(M167,'PF Uscite Sp. Corr.'!$C$1:$E$100,2,FALSE)</f>
        <v>Utilizzo di beni di terzi</v>
      </c>
      <c r="O167" s="131">
        <v>1131</v>
      </c>
      <c r="P167" s="614" t="str">
        <f>VLOOKUP(O167,'Centri di Costo'!$A$2:$B$179,2,FALSE)</f>
        <v>Att. Ord. Az. Vallevecchia - Seminativi</v>
      </c>
      <c r="Q167" s="619" t="s">
        <v>1996</v>
      </c>
      <c r="R167" s="642" t="s">
        <v>962</v>
      </c>
    </row>
    <row r="168" spans="1:18" ht="28.5" customHeight="1" outlineLevel="2">
      <c r="A168" s="85" t="s">
        <v>588</v>
      </c>
      <c r="B168" s="400" t="s">
        <v>1860</v>
      </c>
      <c r="C168" s="85" t="s">
        <v>894</v>
      </c>
      <c r="D168" s="148" t="s">
        <v>7</v>
      </c>
      <c r="E168" s="87">
        <v>2018</v>
      </c>
      <c r="F168" s="88">
        <v>72</v>
      </c>
      <c r="G168" s="120" t="s">
        <v>958</v>
      </c>
      <c r="H168" s="581" t="s">
        <v>960</v>
      </c>
      <c r="I168" s="601">
        <v>10000</v>
      </c>
      <c r="J168" s="595" t="s">
        <v>9</v>
      </c>
      <c r="K168" s="91">
        <v>1</v>
      </c>
      <c r="L168" s="91">
        <v>3</v>
      </c>
      <c r="M168" s="92">
        <v>49</v>
      </c>
      <c r="N168" s="119" t="str">
        <f>VLOOKUP(M168,'PF Uscite Sp. Corr.'!$C$1:$E$100,2,FALSE)</f>
        <v>Manutenzione ordinaria e riparazioni</v>
      </c>
      <c r="O168" s="131">
        <v>1131</v>
      </c>
      <c r="P168" s="614" t="str">
        <f>VLOOKUP(O168,'Centri di Costo'!$A$2:$B$179,2,FALSE)</f>
        <v>Att. Ord. Az. Vallevecchia - Seminativi</v>
      </c>
      <c r="Q168" s="619" t="s">
        <v>1996</v>
      </c>
      <c r="R168" s="642" t="s">
        <v>494</v>
      </c>
    </row>
    <row r="169" spans="1:18" ht="28.5" customHeight="1" outlineLevel="2">
      <c r="A169" s="85" t="s">
        <v>588</v>
      </c>
      <c r="B169" s="400" t="s">
        <v>1860</v>
      </c>
      <c r="C169" s="85" t="s">
        <v>894</v>
      </c>
      <c r="D169" s="148" t="s">
        <v>7</v>
      </c>
      <c r="E169" s="87">
        <v>2018</v>
      </c>
      <c r="F169" s="88">
        <v>72</v>
      </c>
      <c r="G169" s="120" t="s">
        <v>958</v>
      </c>
      <c r="H169" s="581" t="s">
        <v>961</v>
      </c>
      <c r="I169" s="601">
        <v>15000</v>
      </c>
      <c r="J169" s="595" t="s">
        <v>9</v>
      </c>
      <c r="K169" s="91">
        <v>1</v>
      </c>
      <c r="L169" s="91">
        <v>3</v>
      </c>
      <c r="M169" s="92">
        <v>49</v>
      </c>
      <c r="N169" s="119" t="str">
        <f>VLOOKUP(M169,'PF Uscite Sp. Corr.'!$C$1:$E$100,2,FALSE)</f>
        <v>Manutenzione ordinaria e riparazioni</v>
      </c>
      <c r="O169" s="131">
        <v>1131</v>
      </c>
      <c r="P169" s="614" t="str">
        <f>VLOOKUP(O169,'Centri di Costo'!$A$2:$B$179,2,FALSE)</f>
        <v>Att. Ord. Az. Vallevecchia - Seminativi</v>
      </c>
      <c r="Q169" s="619" t="s">
        <v>1996</v>
      </c>
      <c r="R169" s="642" t="s">
        <v>497</v>
      </c>
    </row>
    <row r="170" spans="1:18" ht="28.5" customHeight="1" outlineLevel="2">
      <c r="A170" s="85" t="s">
        <v>588</v>
      </c>
      <c r="B170" s="400" t="s">
        <v>1860</v>
      </c>
      <c r="C170" s="85" t="s">
        <v>894</v>
      </c>
      <c r="D170" s="148" t="s">
        <v>7</v>
      </c>
      <c r="E170" s="87">
        <v>2018</v>
      </c>
      <c r="F170" s="88">
        <v>72</v>
      </c>
      <c r="G170" s="120" t="s">
        <v>958</v>
      </c>
      <c r="H170" s="581" t="s">
        <v>969</v>
      </c>
      <c r="I170" s="601">
        <v>5000</v>
      </c>
      <c r="J170" s="595" t="s">
        <v>9</v>
      </c>
      <c r="K170" s="91">
        <v>1</v>
      </c>
      <c r="L170" s="91">
        <v>3</v>
      </c>
      <c r="M170" s="92">
        <v>49</v>
      </c>
      <c r="N170" s="119" t="str">
        <f>VLOOKUP(M170,'PF Uscite Sp. Corr.'!$C$1:$E$100,2,FALSE)</f>
        <v>Manutenzione ordinaria e riparazioni</v>
      </c>
      <c r="O170" s="131">
        <v>1131</v>
      </c>
      <c r="P170" s="614" t="str">
        <f>VLOOKUP(O170,'Centri di Costo'!$A$2:$B$179,2,FALSE)</f>
        <v>Att. Ord. Az. Vallevecchia - Seminativi</v>
      </c>
      <c r="Q170" s="619" t="s">
        <v>1996</v>
      </c>
      <c r="R170" s="642" t="s">
        <v>502</v>
      </c>
    </row>
    <row r="171" spans="1:18" ht="28.5" customHeight="1" outlineLevel="2">
      <c r="A171" s="85" t="s">
        <v>588</v>
      </c>
      <c r="B171" s="400" t="s">
        <v>1860</v>
      </c>
      <c r="C171" s="85" t="s">
        <v>894</v>
      </c>
      <c r="D171" s="148" t="s">
        <v>7</v>
      </c>
      <c r="E171" s="87">
        <v>2018</v>
      </c>
      <c r="F171" s="88">
        <v>76</v>
      </c>
      <c r="G171" s="120" t="s">
        <v>977</v>
      </c>
      <c r="H171" s="581" t="s">
        <v>978</v>
      </c>
      <c r="I171" s="601">
        <v>3800</v>
      </c>
      <c r="J171" s="595" t="s">
        <v>9</v>
      </c>
      <c r="K171" s="91">
        <v>1</v>
      </c>
      <c r="L171" s="91">
        <v>3</v>
      </c>
      <c r="M171" s="92">
        <v>49</v>
      </c>
      <c r="N171" s="119" t="str">
        <f>VLOOKUP(M171,'PF Uscite Sp. Corr.'!$C$1:$E$100,2,FALSE)</f>
        <v>Manutenzione ordinaria e riparazioni</v>
      </c>
      <c r="O171" s="131">
        <v>1133</v>
      </c>
      <c r="P171" s="614" t="str">
        <f>VLOOKUP(O171,'Centri di Costo'!$A$2:$B$179,2,FALSE)</f>
        <v>Att. Ord. VV - Gestione Impianti Innov. x Acqua</v>
      </c>
      <c r="Q171" s="619" t="s">
        <v>1996</v>
      </c>
      <c r="R171" s="642" t="s">
        <v>536</v>
      </c>
    </row>
    <row r="172" spans="1:18" ht="28.5" customHeight="1" outlineLevel="2">
      <c r="A172" s="85" t="s">
        <v>588</v>
      </c>
      <c r="B172" s="400" t="s">
        <v>1860</v>
      </c>
      <c r="C172" s="85" t="s">
        <v>894</v>
      </c>
      <c r="D172" s="148" t="s">
        <v>7</v>
      </c>
      <c r="E172" s="87">
        <v>2018</v>
      </c>
      <c r="F172" s="88">
        <v>76</v>
      </c>
      <c r="G172" s="120" t="s">
        <v>977</v>
      </c>
      <c r="H172" s="581" t="s">
        <v>979</v>
      </c>
      <c r="I172" s="601">
        <v>1200</v>
      </c>
      <c r="J172" s="595" t="s">
        <v>9</v>
      </c>
      <c r="K172" s="91">
        <v>1</v>
      </c>
      <c r="L172" s="91">
        <v>3</v>
      </c>
      <c r="M172" s="92">
        <v>49</v>
      </c>
      <c r="N172" s="119" t="str">
        <f>VLOOKUP(M172,'PF Uscite Sp. Corr.'!$C$1:$E$100,2,FALSE)</f>
        <v>Manutenzione ordinaria e riparazioni</v>
      </c>
      <c r="O172" s="131">
        <v>1133</v>
      </c>
      <c r="P172" s="614" t="str">
        <f>VLOOKUP(O172,'Centri di Costo'!$A$2:$B$179,2,FALSE)</f>
        <v>Att. Ord. VV - Gestione Impianti Innov. x Acqua</v>
      </c>
      <c r="Q172" s="619" t="s">
        <v>1996</v>
      </c>
      <c r="R172" s="642" t="s">
        <v>536</v>
      </c>
    </row>
    <row r="173" spans="1:18" ht="28.5" customHeight="1" outlineLevel="2">
      <c r="A173" s="85" t="s">
        <v>588</v>
      </c>
      <c r="B173" s="400" t="s">
        <v>1860</v>
      </c>
      <c r="C173" s="85" t="s">
        <v>894</v>
      </c>
      <c r="D173" s="148" t="s">
        <v>7</v>
      </c>
      <c r="E173" s="87">
        <v>2018</v>
      </c>
      <c r="F173" s="88">
        <v>76</v>
      </c>
      <c r="G173" s="120" t="s">
        <v>977</v>
      </c>
      <c r="H173" s="581" t="s">
        <v>980</v>
      </c>
      <c r="I173" s="601">
        <v>2400</v>
      </c>
      <c r="J173" s="595" t="s">
        <v>9</v>
      </c>
      <c r="K173" s="91">
        <v>1</v>
      </c>
      <c r="L173" s="91">
        <v>3</v>
      </c>
      <c r="M173" s="92">
        <v>49</v>
      </c>
      <c r="N173" s="119" t="str">
        <f>VLOOKUP(M173,'PF Uscite Sp. Corr.'!$C$1:$E$100,2,FALSE)</f>
        <v>Manutenzione ordinaria e riparazioni</v>
      </c>
      <c r="O173" s="131">
        <v>1133</v>
      </c>
      <c r="P173" s="614" t="str">
        <f>VLOOKUP(O173,'Centri di Costo'!$A$2:$B$179,2,FALSE)</f>
        <v>Att. Ord. VV - Gestione Impianti Innov. x Acqua</v>
      </c>
      <c r="Q173" s="619" t="s">
        <v>1996</v>
      </c>
      <c r="R173" s="642" t="s">
        <v>536</v>
      </c>
    </row>
    <row r="174" spans="1:18" ht="28.5" customHeight="1" outlineLevel="2">
      <c r="A174" s="85" t="s">
        <v>588</v>
      </c>
      <c r="B174" s="400" t="s">
        <v>1860</v>
      </c>
      <c r="C174" s="85" t="s">
        <v>894</v>
      </c>
      <c r="D174" s="148" t="s">
        <v>7</v>
      </c>
      <c r="E174" s="87">
        <v>2018</v>
      </c>
      <c r="F174" s="88">
        <v>266</v>
      </c>
      <c r="G174" s="120" t="s">
        <v>981</v>
      </c>
      <c r="H174" s="581" t="s">
        <v>992</v>
      </c>
      <c r="I174" s="601">
        <v>1500</v>
      </c>
      <c r="J174" s="595" t="s">
        <v>9</v>
      </c>
      <c r="K174" s="91">
        <v>1</v>
      </c>
      <c r="L174" s="91">
        <v>3</v>
      </c>
      <c r="M174" s="92">
        <v>51</v>
      </c>
      <c r="N174" s="119" t="str">
        <f>VLOOKUP(M174,'PF Uscite Sp. Corr.'!$C$1:$E$100,2,FALSE)</f>
        <v>Prestazioni professionali e specialistiche</v>
      </c>
      <c r="O174" s="131">
        <v>1138</v>
      </c>
      <c r="P174" s="614" t="str">
        <f>VLOOKUP(O174,'Centri di Costo'!$A$2:$B$179,2,FALSE)</f>
        <v>Att. Ord. Az. Vallevecchia - Spese Generali</v>
      </c>
      <c r="Q174" s="619" t="s">
        <v>2029</v>
      </c>
      <c r="R174" s="642" t="s">
        <v>414</v>
      </c>
    </row>
    <row r="175" spans="1:18" ht="28.5" customHeight="1" outlineLevel="2">
      <c r="A175" s="85" t="s">
        <v>588</v>
      </c>
      <c r="B175" s="400" t="s">
        <v>1860</v>
      </c>
      <c r="C175" s="85" t="s">
        <v>894</v>
      </c>
      <c r="D175" s="148" t="s">
        <v>7</v>
      </c>
      <c r="E175" s="87">
        <v>2018</v>
      </c>
      <c r="F175" s="88">
        <v>72</v>
      </c>
      <c r="G175" s="120" t="s">
        <v>958</v>
      </c>
      <c r="H175" s="581" t="s">
        <v>968</v>
      </c>
      <c r="I175" s="601">
        <v>3000</v>
      </c>
      <c r="J175" s="595" t="s">
        <v>9</v>
      </c>
      <c r="K175" s="91">
        <v>1</v>
      </c>
      <c r="L175" s="91">
        <v>3</v>
      </c>
      <c r="M175" s="92">
        <v>51</v>
      </c>
      <c r="N175" s="119" t="str">
        <f>VLOOKUP(M175,'PF Uscite Sp. Corr.'!$C$1:$E$100,2,FALSE)</f>
        <v>Prestazioni professionali e specialistiche</v>
      </c>
      <c r="O175" s="131">
        <v>1131</v>
      </c>
      <c r="P175" s="614" t="str">
        <f>VLOOKUP(O175,'Centri di Costo'!$A$2:$B$179,2,FALSE)</f>
        <v>Att. Ord. Az. Vallevecchia - Seminativi</v>
      </c>
      <c r="Q175" s="619" t="s">
        <v>1996</v>
      </c>
      <c r="R175" s="642" t="s">
        <v>119</v>
      </c>
    </row>
    <row r="176" spans="1:18" ht="28.5" customHeight="1" outlineLevel="2">
      <c r="A176" s="85" t="s">
        <v>588</v>
      </c>
      <c r="B176" s="400" t="s">
        <v>1860</v>
      </c>
      <c r="C176" s="85" t="s">
        <v>894</v>
      </c>
      <c r="D176" s="148" t="s">
        <v>7</v>
      </c>
      <c r="E176" s="87">
        <v>2018</v>
      </c>
      <c r="F176" s="88">
        <v>72</v>
      </c>
      <c r="G176" s="120" t="s">
        <v>958</v>
      </c>
      <c r="H176" s="581" t="s">
        <v>973</v>
      </c>
      <c r="I176" s="601">
        <v>5000</v>
      </c>
      <c r="J176" s="595" t="s">
        <v>9</v>
      </c>
      <c r="K176" s="91">
        <v>1</v>
      </c>
      <c r="L176" s="91">
        <v>3</v>
      </c>
      <c r="M176" s="92">
        <v>51</v>
      </c>
      <c r="N176" s="119" t="str">
        <f>VLOOKUP(M176,'PF Uscite Sp. Corr.'!$C$1:$E$100,2,FALSE)</f>
        <v>Prestazioni professionali e specialistiche</v>
      </c>
      <c r="O176" s="131">
        <v>1131</v>
      </c>
      <c r="P176" s="614" t="str">
        <f>VLOOKUP(O176,'Centri di Costo'!$A$2:$B$179,2,FALSE)</f>
        <v>Att. Ord. Az. Vallevecchia - Seminativi</v>
      </c>
      <c r="Q176" s="619" t="s">
        <v>1996</v>
      </c>
      <c r="R176" s="642" t="s">
        <v>538</v>
      </c>
    </row>
    <row r="177" spans="1:18" ht="28.5" customHeight="1" outlineLevel="2">
      <c r="A177" s="85" t="s">
        <v>588</v>
      </c>
      <c r="B177" s="400" t="s">
        <v>1860</v>
      </c>
      <c r="C177" s="85" t="s">
        <v>894</v>
      </c>
      <c r="D177" s="148" t="s">
        <v>7</v>
      </c>
      <c r="E177" s="87">
        <v>2018</v>
      </c>
      <c r="F177" s="88">
        <v>72</v>
      </c>
      <c r="G177" s="120" t="s">
        <v>958</v>
      </c>
      <c r="H177" s="581" t="s">
        <v>959</v>
      </c>
      <c r="I177" s="601">
        <v>10000</v>
      </c>
      <c r="J177" s="595" t="s">
        <v>9</v>
      </c>
      <c r="K177" s="91">
        <v>1</v>
      </c>
      <c r="L177" s="91">
        <v>3</v>
      </c>
      <c r="M177" s="92">
        <v>53</v>
      </c>
      <c r="N177" s="119" t="str">
        <f>VLOOKUP(M177,'PF Uscite Sp. Corr.'!$C$1:$E$100,2,FALSE)</f>
        <v>Servizi ausiliari per il funzionamento dell'ente</v>
      </c>
      <c r="O177" s="131">
        <v>1131</v>
      </c>
      <c r="P177" s="614" t="str">
        <f>VLOOKUP(O177,'Centri di Costo'!$A$2:$B$179,2,FALSE)</f>
        <v>Att. Ord. Az. Vallevecchia - Seminativi</v>
      </c>
      <c r="Q177" s="619" t="s">
        <v>1996</v>
      </c>
      <c r="R177" s="642" t="s">
        <v>78</v>
      </c>
    </row>
    <row r="178" spans="1:18" ht="28.5" customHeight="1" outlineLevel="2">
      <c r="A178" s="85" t="s">
        <v>588</v>
      </c>
      <c r="B178" s="400" t="s">
        <v>1860</v>
      </c>
      <c r="C178" s="85" t="s">
        <v>894</v>
      </c>
      <c r="D178" s="148" t="s">
        <v>7</v>
      </c>
      <c r="E178" s="87">
        <v>2018</v>
      </c>
      <c r="F178" s="88">
        <v>72</v>
      </c>
      <c r="G178" s="120" t="s">
        <v>958</v>
      </c>
      <c r="H178" s="581" t="s">
        <v>963</v>
      </c>
      <c r="I178" s="601">
        <v>17000</v>
      </c>
      <c r="J178" s="595" t="s">
        <v>9</v>
      </c>
      <c r="K178" s="91">
        <v>1</v>
      </c>
      <c r="L178" s="91">
        <v>3</v>
      </c>
      <c r="M178" s="92">
        <v>53</v>
      </c>
      <c r="N178" s="119" t="str">
        <f>VLOOKUP(M178,'PF Uscite Sp. Corr.'!$C$1:$E$100,2,FALSE)</f>
        <v>Servizi ausiliari per il funzionamento dell'ente</v>
      </c>
      <c r="O178" s="131">
        <v>1131</v>
      </c>
      <c r="P178" s="614" t="str">
        <f>VLOOKUP(O178,'Centri di Costo'!$A$2:$B$179,2,FALSE)</f>
        <v>Att. Ord. Az. Vallevecchia - Seminativi</v>
      </c>
      <c r="Q178" s="619" t="s">
        <v>1996</v>
      </c>
      <c r="R178" s="642" t="s">
        <v>964</v>
      </c>
    </row>
    <row r="179" spans="1:18" ht="28.5" customHeight="1" outlineLevel="2">
      <c r="A179" s="85" t="s">
        <v>588</v>
      </c>
      <c r="B179" s="400" t="s">
        <v>1860</v>
      </c>
      <c r="C179" s="85" t="s">
        <v>894</v>
      </c>
      <c r="D179" s="148" t="s">
        <v>7</v>
      </c>
      <c r="E179" s="87">
        <v>2018</v>
      </c>
      <c r="F179" s="88">
        <v>72</v>
      </c>
      <c r="G179" s="120" t="s">
        <v>958</v>
      </c>
      <c r="H179" s="581" t="s">
        <v>967</v>
      </c>
      <c r="I179" s="601">
        <v>68000</v>
      </c>
      <c r="J179" s="595" t="s">
        <v>9</v>
      </c>
      <c r="K179" s="91">
        <v>1</v>
      </c>
      <c r="L179" s="91">
        <v>3</v>
      </c>
      <c r="M179" s="92">
        <v>53</v>
      </c>
      <c r="N179" s="119" t="str">
        <f>VLOOKUP(M179,'PF Uscite Sp. Corr.'!$C$1:$E$100,2,FALSE)</f>
        <v>Servizi ausiliari per il funzionamento dell'ente</v>
      </c>
      <c r="O179" s="131">
        <v>1131</v>
      </c>
      <c r="P179" s="614" t="str">
        <f>VLOOKUP(O179,'Centri di Costo'!$A$2:$B$179,2,FALSE)</f>
        <v>Att. Ord. Az. Vallevecchia - Seminativi</v>
      </c>
      <c r="Q179" s="619" t="s">
        <v>1996</v>
      </c>
      <c r="R179" s="642" t="s">
        <v>521</v>
      </c>
    </row>
    <row r="180" spans="1:18" ht="28.5" customHeight="1" outlineLevel="2">
      <c r="A180" s="85" t="s">
        <v>588</v>
      </c>
      <c r="B180" s="400" t="s">
        <v>1860</v>
      </c>
      <c r="C180" s="85" t="s">
        <v>894</v>
      </c>
      <c r="D180" s="148" t="s">
        <v>7</v>
      </c>
      <c r="E180" s="87">
        <v>2018</v>
      </c>
      <c r="F180" s="88">
        <v>74</v>
      </c>
      <c r="G180" s="120" t="s">
        <v>975</v>
      </c>
      <c r="H180" s="581" t="s">
        <v>1562</v>
      </c>
      <c r="I180" s="601">
        <v>17000</v>
      </c>
      <c r="J180" s="595" t="s">
        <v>9</v>
      </c>
      <c r="K180" s="91">
        <v>1</v>
      </c>
      <c r="L180" s="91">
        <v>3</v>
      </c>
      <c r="M180" s="92">
        <v>53</v>
      </c>
      <c r="N180" s="119" t="str">
        <f>VLOOKUP(M180,'PF Uscite Sp. Corr.'!$C$1:$E$100,2,FALSE)</f>
        <v>Servizi ausiliari per il funzionamento dell'ente</v>
      </c>
      <c r="O180" s="131">
        <v>1132</v>
      </c>
      <c r="P180" s="614" t="str">
        <f>VLOOKUP(O180,'Centri di Costo'!$A$2:$B$179,2,FALSE)</f>
        <v>Att. Ord. Az. Vallevecchia - Parcheggio</v>
      </c>
      <c r="Q180" s="619" t="s">
        <v>1996</v>
      </c>
      <c r="R180" s="642" t="s">
        <v>521</v>
      </c>
    </row>
    <row r="181" spans="1:18" ht="28.5" customHeight="1" outlineLevel="2">
      <c r="A181" s="85" t="s">
        <v>89</v>
      </c>
      <c r="B181" s="400" t="s">
        <v>1860</v>
      </c>
      <c r="C181" s="85" t="s">
        <v>150</v>
      </c>
      <c r="D181" s="148" t="s">
        <v>7</v>
      </c>
      <c r="E181" s="87">
        <v>2018</v>
      </c>
      <c r="F181" s="88">
        <v>133</v>
      </c>
      <c r="G181" s="120" t="s">
        <v>200</v>
      </c>
      <c r="H181" s="581" t="s">
        <v>212</v>
      </c>
      <c r="I181" s="601">
        <v>1000</v>
      </c>
      <c r="J181" s="595" t="s">
        <v>9</v>
      </c>
      <c r="K181" s="91">
        <v>1</v>
      </c>
      <c r="L181" s="91">
        <v>3</v>
      </c>
      <c r="M181" s="92">
        <v>59</v>
      </c>
      <c r="N181" s="119" t="str">
        <f>VLOOKUP(M181,'PF Uscite Sp. Corr.'!$C$1:$E$100,2,FALSE)</f>
        <v>Servizi informatici e di telecomunicazioni</v>
      </c>
      <c r="O181" s="131">
        <v>1138</v>
      </c>
      <c r="P181" s="614" t="str">
        <f>VLOOKUP(O181,'Centri di Costo'!$A$2:$B$179,2,FALSE)</f>
        <v>Att. Ord. Az. Vallevecchia - Spese Generali</v>
      </c>
      <c r="Q181" s="624" t="s">
        <v>2014</v>
      </c>
      <c r="R181" s="642" t="s">
        <v>202</v>
      </c>
    </row>
    <row r="182" spans="1:18" ht="28.5" customHeight="1" outlineLevel="2">
      <c r="A182" s="85" t="s">
        <v>588</v>
      </c>
      <c r="B182" s="400" t="s">
        <v>1860</v>
      </c>
      <c r="C182" s="85" t="s">
        <v>894</v>
      </c>
      <c r="D182" s="148" t="s">
        <v>7</v>
      </c>
      <c r="E182" s="87">
        <v>2018</v>
      </c>
      <c r="F182" s="88">
        <v>266</v>
      </c>
      <c r="G182" s="120" t="s">
        <v>981</v>
      </c>
      <c r="H182" s="581" t="s">
        <v>988</v>
      </c>
      <c r="I182" s="601">
        <v>1000</v>
      </c>
      <c r="J182" s="595" t="s">
        <v>9</v>
      </c>
      <c r="K182" s="91">
        <v>1</v>
      </c>
      <c r="L182" s="91">
        <v>10</v>
      </c>
      <c r="M182" s="92">
        <v>86</v>
      </c>
      <c r="N182" s="119" t="str">
        <f>VLOOKUP(M182,'PF Uscite Sp. Corr.'!$C$1:$E$100,2,FALSE)</f>
        <v>Premi di assicurazione contro i danni</v>
      </c>
      <c r="O182" s="131">
        <v>1138</v>
      </c>
      <c r="P182" s="614" t="str">
        <f>VLOOKUP(O182,'Centri di Costo'!$A$2:$B$179,2,FALSE)</f>
        <v>Att. Ord. Az. Vallevecchia - Spese Generali</v>
      </c>
      <c r="Q182" s="624" t="s">
        <v>2014</v>
      </c>
      <c r="R182" s="642" t="s">
        <v>56</v>
      </c>
    </row>
    <row r="183" spans="1:18" ht="28.5" customHeight="1" outlineLevel="2">
      <c r="A183" s="85" t="s">
        <v>588</v>
      </c>
      <c r="B183" s="400" t="s">
        <v>1860</v>
      </c>
      <c r="C183" s="85" t="s">
        <v>894</v>
      </c>
      <c r="D183" s="148" t="s">
        <v>7</v>
      </c>
      <c r="E183" s="87">
        <v>2018</v>
      </c>
      <c r="F183" s="88">
        <v>266</v>
      </c>
      <c r="G183" s="120" t="s">
        <v>981</v>
      </c>
      <c r="H183" s="581" t="s">
        <v>989</v>
      </c>
      <c r="I183" s="601">
        <v>3500</v>
      </c>
      <c r="J183" s="595" t="s">
        <v>9</v>
      </c>
      <c r="K183" s="91">
        <v>1</v>
      </c>
      <c r="L183" s="91">
        <v>10</v>
      </c>
      <c r="M183" s="92">
        <v>86</v>
      </c>
      <c r="N183" s="119" t="str">
        <f>VLOOKUP(M183,'PF Uscite Sp. Corr.'!$C$1:$E$100,2,FALSE)</f>
        <v>Premi di assicurazione contro i danni</v>
      </c>
      <c r="O183" s="131">
        <v>1138</v>
      </c>
      <c r="P183" s="614" t="str">
        <f>VLOOKUP(O183,'Centri di Costo'!$A$2:$B$179,2,FALSE)</f>
        <v>Att. Ord. Az. Vallevecchia - Spese Generali</v>
      </c>
      <c r="Q183" s="624" t="s">
        <v>2014</v>
      </c>
      <c r="R183" s="642" t="s">
        <v>59</v>
      </c>
    </row>
    <row r="184" spans="1:18" s="139" customFormat="1" ht="28.5" customHeight="1" outlineLevel="2">
      <c r="A184" s="115" t="s">
        <v>588</v>
      </c>
      <c r="B184" s="401" t="s">
        <v>1860</v>
      </c>
      <c r="C184" s="115" t="s">
        <v>894</v>
      </c>
      <c r="D184" s="417" t="s">
        <v>7</v>
      </c>
      <c r="E184" s="412">
        <v>2018</v>
      </c>
      <c r="F184" s="413">
        <v>72</v>
      </c>
      <c r="G184" s="123" t="s">
        <v>958</v>
      </c>
      <c r="H184" s="583" t="s">
        <v>1520</v>
      </c>
      <c r="I184" s="603">
        <v>20000</v>
      </c>
      <c r="J184" s="596" t="s">
        <v>9</v>
      </c>
      <c r="K184" s="216">
        <v>1</v>
      </c>
      <c r="L184" s="216">
        <v>10</v>
      </c>
      <c r="M184" s="418">
        <v>86</v>
      </c>
      <c r="N184" s="118" t="str">
        <f>VLOOKUP(M184,'PF Uscite Sp. Corr.'!$C$1:$E$100,2,FALSE)</f>
        <v>Premi di assicurazione contro i danni</v>
      </c>
      <c r="O184" s="419">
        <v>1131</v>
      </c>
      <c r="P184" s="615" t="str">
        <f>VLOOKUP(O184,'Centri di Costo'!$A$2:$B$179,2,FALSE)</f>
        <v>Att. Ord. Az. Vallevecchia - Seminativi</v>
      </c>
      <c r="Q184" s="623" t="s">
        <v>1996</v>
      </c>
      <c r="R184" s="648" t="s">
        <v>163</v>
      </c>
    </row>
    <row r="185" spans="1:18" s="215" customFormat="1" ht="20.25" customHeight="1" outlineLevel="1" collapsed="1">
      <c r="A185" s="160"/>
      <c r="B185" s="433" t="s">
        <v>1895</v>
      </c>
      <c r="C185" s="161"/>
      <c r="D185" s="437"/>
      <c r="E185" s="438"/>
      <c r="F185" s="438"/>
      <c r="G185" s="441" t="s">
        <v>1938</v>
      </c>
      <c r="H185" s="214" t="s">
        <v>1941</v>
      </c>
      <c r="I185" s="605">
        <f>SUBTOTAL(9,I134:I184)</f>
        <v>750870</v>
      </c>
      <c r="J185" s="212"/>
      <c r="K185" s="179"/>
      <c r="L185" s="179"/>
      <c r="M185" s="213"/>
      <c r="N185" s="434"/>
      <c r="O185" s="439"/>
      <c r="P185" s="435"/>
      <c r="Q185" s="620"/>
      <c r="R185" s="645"/>
    </row>
    <row r="186" spans="1:18" ht="28.5" customHeight="1" outlineLevel="2">
      <c r="A186" s="94" t="s">
        <v>588</v>
      </c>
      <c r="B186" s="402" t="s">
        <v>1861</v>
      </c>
      <c r="C186" s="94" t="s">
        <v>894</v>
      </c>
      <c r="D186" s="149" t="s">
        <v>7</v>
      </c>
      <c r="E186" s="101">
        <v>2018</v>
      </c>
      <c r="F186" s="102">
        <v>50</v>
      </c>
      <c r="G186" s="121" t="s">
        <v>1000</v>
      </c>
      <c r="H186" s="580" t="s">
        <v>1093</v>
      </c>
      <c r="I186" s="600">
        <v>33000</v>
      </c>
      <c r="J186" s="594" t="s">
        <v>9</v>
      </c>
      <c r="K186" s="99">
        <v>1</v>
      </c>
      <c r="L186" s="99">
        <v>1</v>
      </c>
      <c r="M186" s="209" t="s">
        <v>1532</v>
      </c>
      <c r="N186" s="577" t="str">
        <f>VLOOKUP(M186,'PF Uscite Sp. Corr.'!$C$1:$E$100,2,FALSE)</f>
        <v>Salari, Oneri Sociali, Acc. TFR, Buoni Pasto (e IRAP su retribuz. se dovuta) OTI</v>
      </c>
      <c r="O186" s="132">
        <v>1148</v>
      </c>
      <c r="P186" s="613" t="str">
        <f>VLOOKUP(O186,'Centri di Costo'!$A$2:$B$179,2,FALSE)</f>
        <v>Att. Ord. Villiago - Spese Generali</v>
      </c>
      <c r="Q186" s="621" t="s">
        <v>1998</v>
      </c>
      <c r="R186" s="650" t="s">
        <v>284</v>
      </c>
    </row>
    <row r="187" spans="1:18" ht="28.5" customHeight="1" outlineLevel="2">
      <c r="A187" s="94" t="s">
        <v>588</v>
      </c>
      <c r="B187" s="400" t="s">
        <v>1861</v>
      </c>
      <c r="C187" s="94" t="s">
        <v>894</v>
      </c>
      <c r="D187" s="149" t="s">
        <v>7</v>
      </c>
      <c r="E187" s="101">
        <v>2018</v>
      </c>
      <c r="F187" s="102">
        <v>50</v>
      </c>
      <c r="G187" s="121" t="s">
        <v>1000</v>
      </c>
      <c r="H187" s="580" t="s">
        <v>1086</v>
      </c>
      <c r="I187" s="600">
        <f>58000-5000</f>
        <v>53000</v>
      </c>
      <c r="J187" s="594" t="s">
        <v>9</v>
      </c>
      <c r="K187" s="99">
        <v>1</v>
      </c>
      <c r="L187" s="99">
        <v>1</v>
      </c>
      <c r="M187" s="517" t="s">
        <v>1530</v>
      </c>
      <c r="N187" s="577" t="str">
        <f>VLOOKUP(M187,'PF Uscite Sp. Corr.'!$C$1:$E$100,2,FALSE)</f>
        <v>Salari, Oneri Sociali, Acc. TFR, Buoni Pasto (e IRAP su retribuz. se dovuta) OTD</v>
      </c>
      <c r="O187" s="132">
        <v>1148</v>
      </c>
      <c r="P187" s="613" t="str">
        <f>VLOOKUP(O187,'Centri di Costo'!$A$2:$B$179,2,FALSE)</f>
        <v>Att. Ord. Villiago - Spese Generali</v>
      </c>
      <c r="Q187" s="621" t="s">
        <v>1998</v>
      </c>
      <c r="R187" s="650" t="s">
        <v>427</v>
      </c>
    </row>
    <row r="188" spans="1:18" ht="36.75" customHeight="1" outlineLevel="2">
      <c r="A188" s="85" t="s">
        <v>588</v>
      </c>
      <c r="B188" s="400" t="s">
        <v>1861</v>
      </c>
      <c r="C188" s="85" t="s">
        <v>894</v>
      </c>
      <c r="D188" s="148" t="s">
        <v>7</v>
      </c>
      <c r="E188" s="87">
        <v>2018</v>
      </c>
      <c r="F188" s="88">
        <v>50</v>
      </c>
      <c r="G188" s="120" t="s">
        <v>1000</v>
      </c>
      <c r="H188" s="581" t="s">
        <v>1001</v>
      </c>
      <c r="I188" s="601">
        <v>6500</v>
      </c>
      <c r="J188" s="595" t="s">
        <v>9</v>
      </c>
      <c r="K188" s="91">
        <v>1</v>
      </c>
      <c r="L188" s="91">
        <v>3</v>
      </c>
      <c r="M188" s="92">
        <v>32</v>
      </c>
      <c r="N188" s="119" t="str">
        <f>VLOOKUP(M188,'PF Uscite Sp. Corr.'!$C$1:$E$100,2,FALSE)</f>
        <v>Altri beni di consumo</v>
      </c>
      <c r="O188" s="131">
        <v>1141</v>
      </c>
      <c r="P188" s="614" t="str">
        <f>VLOOKUP(O188,'Centri di Costo'!$A$2:$B$179,2,FALSE)</f>
        <v>Att. Ord. Az. Villiago - Prati Pascoli</v>
      </c>
      <c r="Q188" s="619" t="s">
        <v>1996</v>
      </c>
      <c r="R188" s="642" t="s">
        <v>578</v>
      </c>
    </row>
    <row r="189" spans="1:18" ht="28.5" customHeight="1" outlineLevel="2">
      <c r="A189" s="85" t="s">
        <v>588</v>
      </c>
      <c r="B189" s="400" t="s">
        <v>1861</v>
      </c>
      <c r="C189" s="85" t="s">
        <v>894</v>
      </c>
      <c r="D189" s="148" t="s">
        <v>7</v>
      </c>
      <c r="E189" s="87">
        <v>2018</v>
      </c>
      <c r="F189" s="88">
        <v>50</v>
      </c>
      <c r="G189" s="120" t="s">
        <v>1000</v>
      </c>
      <c r="H189" s="581" t="s">
        <v>1019</v>
      </c>
      <c r="I189" s="601">
        <v>1200</v>
      </c>
      <c r="J189" s="595" t="s">
        <v>9</v>
      </c>
      <c r="K189" s="91">
        <v>1</v>
      </c>
      <c r="L189" s="91">
        <v>3</v>
      </c>
      <c r="M189" s="92">
        <v>32</v>
      </c>
      <c r="N189" s="119" t="str">
        <f>VLOOKUP(M189,'PF Uscite Sp. Corr.'!$C$1:$E$100,2,FALSE)</f>
        <v>Altri beni di consumo</v>
      </c>
      <c r="O189" s="131">
        <v>1141</v>
      </c>
      <c r="P189" s="614" t="str">
        <f>VLOOKUP(O189,'Centri di Costo'!$A$2:$B$179,2,FALSE)</f>
        <v>Att. Ord. Az. Villiago - Prati Pascoli</v>
      </c>
      <c r="Q189" s="619" t="s">
        <v>1996</v>
      </c>
      <c r="R189" s="642" t="s">
        <v>1020</v>
      </c>
    </row>
    <row r="190" spans="1:18" ht="28.5" customHeight="1" outlineLevel="2">
      <c r="A190" s="85" t="s">
        <v>588</v>
      </c>
      <c r="B190" s="400" t="s">
        <v>1861</v>
      </c>
      <c r="C190" s="85" t="s">
        <v>894</v>
      </c>
      <c r="D190" s="148" t="s">
        <v>7</v>
      </c>
      <c r="E190" s="87">
        <v>2018</v>
      </c>
      <c r="F190" s="88">
        <v>50</v>
      </c>
      <c r="G190" s="120" t="s">
        <v>1000</v>
      </c>
      <c r="H190" s="581" t="s">
        <v>1021</v>
      </c>
      <c r="I190" s="601">
        <v>27000</v>
      </c>
      <c r="J190" s="595" t="s">
        <v>9</v>
      </c>
      <c r="K190" s="91">
        <v>1</v>
      </c>
      <c r="L190" s="91">
        <v>3</v>
      </c>
      <c r="M190" s="92">
        <v>32</v>
      </c>
      <c r="N190" s="119" t="str">
        <f>VLOOKUP(M190,'PF Uscite Sp. Corr.'!$C$1:$E$100,2,FALSE)</f>
        <v>Altri beni di consumo</v>
      </c>
      <c r="O190" s="131">
        <v>1141</v>
      </c>
      <c r="P190" s="614" t="str">
        <f>VLOOKUP(O190,'Centri di Costo'!$A$2:$B$179,2,FALSE)</f>
        <v>Att. Ord. Az. Villiago - Prati Pascoli</v>
      </c>
      <c r="Q190" s="619" t="s">
        <v>1996</v>
      </c>
      <c r="R190" s="642" t="s">
        <v>579</v>
      </c>
    </row>
    <row r="191" spans="1:18" ht="28.5" customHeight="1" outlineLevel="2">
      <c r="A191" s="85" t="s">
        <v>588</v>
      </c>
      <c r="B191" s="400" t="s">
        <v>1861</v>
      </c>
      <c r="C191" s="85" t="s">
        <v>894</v>
      </c>
      <c r="D191" s="148" t="s">
        <v>7</v>
      </c>
      <c r="E191" s="87">
        <v>2018</v>
      </c>
      <c r="F191" s="88">
        <v>50</v>
      </c>
      <c r="G191" s="120" t="s">
        <v>1000</v>
      </c>
      <c r="H191" s="581" t="s">
        <v>1022</v>
      </c>
      <c r="I191" s="601">
        <v>750</v>
      </c>
      <c r="J191" s="595" t="s">
        <v>9</v>
      </c>
      <c r="K191" s="91">
        <v>1</v>
      </c>
      <c r="L191" s="91">
        <v>3</v>
      </c>
      <c r="M191" s="92">
        <v>32</v>
      </c>
      <c r="N191" s="119" t="str">
        <f>VLOOKUP(M191,'PF Uscite Sp. Corr.'!$C$1:$E$100,2,FALSE)</f>
        <v>Altri beni di consumo</v>
      </c>
      <c r="O191" s="131">
        <v>1141</v>
      </c>
      <c r="P191" s="614" t="str">
        <f>VLOOKUP(O191,'Centri di Costo'!$A$2:$B$179,2,FALSE)</f>
        <v>Att. Ord. Az. Villiago - Prati Pascoli</v>
      </c>
      <c r="Q191" s="619" t="s">
        <v>1996</v>
      </c>
      <c r="R191" s="642" t="s">
        <v>436</v>
      </c>
    </row>
    <row r="192" spans="1:18" ht="28.5" customHeight="1" outlineLevel="2">
      <c r="A192" s="85" t="s">
        <v>588</v>
      </c>
      <c r="B192" s="400" t="s">
        <v>1861</v>
      </c>
      <c r="C192" s="85" t="s">
        <v>894</v>
      </c>
      <c r="D192" s="148" t="s">
        <v>7</v>
      </c>
      <c r="E192" s="87">
        <v>2018</v>
      </c>
      <c r="F192" s="88">
        <v>50</v>
      </c>
      <c r="G192" s="120" t="s">
        <v>1000</v>
      </c>
      <c r="H192" s="581" t="s">
        <v>1023</v>
      </c>
      <c r="I192" s="601">
        <v>300</v>
      </c>
      <c r="J192" s="595" t="s">
        <v>9</v>
      </c>
      <c r="K192" s="91">
        <v>1</v>
      </c>
      <c r="L192" s="91">
        <v>3</v>
      </c>
      <c r="M192" s="92">
        <v>32</v>
      </c>
      <c r="N192" s="119" t="str">
        <f>VLOOKUP(M192,'PF Uscite Sp. Corr.'!$C$1:$E$100,2,FALSE)</f>
        <v>Altri beni di consumo</v>
      </c>
      <c r="O192" s="131">
        <v>1141</v>
      </c>
      <c r="P192" s="614" t="str">
        <f>VLOOKUP(O192,'Centri di Costo'!$A$2:$B$179,2,FALSE)</f>
        <v>Att. Ord. Az. Villiago - Prati Pascoli</v>
      </c>
      <c r="Q192" s="619" t="s">
        <v>1996</v>
      </c>
      <c r="R192" s="642" t="s">
        <v>190</v>
      </c>
    </row>
    <row r="193" spans="1:18" ht="28.5" customHeight="1" outlineLevel="2">
      <c r="A193" s="85" t="s">
        <v>588</v>
      </c>
      <c r="B193" s="400" t="s">
        <v>1861</v>
      </c>
      <c r="C193" s="85" t="s">
        <v>894</v>
      </c>
      <c r="D193" s="148" t="s">
        <v>7</v>
      </c>
      <c r="E193" s="87">
        <v>2018</v>
      </c>
      <c r="F193" s="88">
        <v>50</v>
      </c>
      <c r="G193" s="120" t="s">
        <v>1000</v>
      </c>
      <c r="H193" s="581" t="s">
        <v>1024</v>
      </c>
      <c r="I193" s="601">
        <v>11000</v>
      </c>
      <c r="J193" s="595" t="s">
        <v>9</v>
      </c>
      <c r="K193" s="91">
        <v>1</v>
      </c>
      <c r="L193" s="91">
        <v>3</v>
      </c>
      <c r="M193" s="92">
        <v>32</v>
      </c>
      <c r="N193" s="119" t="str">
        <f>VLOOKUP(M193,'PF Uscite Sp. Corr.'!$C$1:$E$100,2,FALSE)</f>
        <v>Altri beni di consumo</v>
      </c>
      <c r="O193" s="131">
        <v>1141</v>
      </c>
      <c r="P193" s="614" t="str">
        <f>VLOOKUP(O193,'Centri di Costo'!$A$2:$B$179,2,FALSE)</f>
        <v>Att. Ord. Az. Villiago - Prati Pascoli</v>
      </c>
      <c r="Q193" s="619" t="s">
        <v>1996</v>
      </c>
      <c r="R193" s="642" t="s">
        <v>73</v>
      </c>
    </row>
    <row r="194" spans="1:18" ht="28.5" customHeight="1" outlineLevel="2">
      <c r="A194" s="85" t="s">
        <v>588</v>
      </c>
      <c r="B194" s="400" t="s">
        <v>1861</v>
      </c>
      <c r="C194" s="85" t="s">
        <v>894</v>
      </c>
      <c r="D194" s="148" t="s">
        <v>7</v>
      </c>
      <c r="E194" s="87">
        <v>2018</v>
      </c>
      <c r="F194" s="88">
        <v>50</v>
      </c>
      <c r="G194" s="120" t="s">
        <v>1000</v>
      </c>
      <c r="H194" s="581" t="s">
        <v>1025</v>
      </c>
      <c r="I194" s="601">
        <v>300</v>
      </c>
      <c r="J194" s="595" t="s">
        <v>9</v>
      </c>
      <c r="K194" s="91">
        <v>1</v>
      </c>
      <c r="L194" s="91">
        <v>3</v>
      </c>
      <c r="M194" s="92">
        <v>32</v>
      </c>
      <c r="N194" s="119" t="str">
        <f>VLOOKUP(M194,'PF Uscite Sp. Corr.'!$C$1:$E$100,2,FALSE)</f>
        <v>Altri beni di consumo</v>
      </c>
      <c r="O194" s="131">
        <v>1141</v>
      </c>
      <c r="P194" s="614" t="str">
        <f>VLOOKUP(O194,'Centri di Costo'!$A$2:$B$179,2,FALSE)</f>
        <v>Att. Ord. Az. Villiago - Prati Pascoli</v>
      </c>
      <c r="Q194" s="619" t="s">
        <v>1996</v>
      </c>
      <c r="R194" s="642" t="s">
        <v>72</v>
      </c>
    </row>
    <row r="195" spans="1:18" ht="28.5" customHeight="1" outlineLevel="2">
      <c r="A195" s="85" t="s">
        <v>588</v>
      </c>
      <c r="B195" s="400" t="s">
        <v>1861</v>
      </c>
      <c r="C195" s="85" t="s">
        <v>894</v>
      </c>
      <c r="D195" s="148" t="s">
        <v>7</v>
      </c>
      <c r="E195" s="87">
        <v>2018</v>
      </c>
      <c r="F195" s="88">
        <v>50</v>
      </c>
      <c r="G195" s="120" t="s">
        <v>1000</v>
      </c>
      <c r="H195" s="581" t="s">
        <v>1017</v>
      </c>
      <c r="I195" s="601">
        <v>2800</v>
      </c>
      <c r="J195" s="595" t="s">
        <v>9</v>
      </c>
      <c r="K195" s="91">
        <v>1</v>
      </c>
      <c r="L195" s="91">
        <v>3</v>
      </c>
      <c r="M195" s="92">
        <v>33</v>
      </c>
      <c r="N195" s="119" t="str">
        <f>VLOOKUP(M195,'PF Uscite Sp. Corr.'!$C$1:$E$100,2,FALSE)</f>
        <v>Flora e Fauna</v>
      </c>
      <c r="O195" s="131">
        <v>1142</v>
      </c>
      <c r="P195" s="614" t="str">
        <f>VLOOKUP(O195,'Centri di Costo'!$A$2:$B$179,2,FALSE)</f>
        <v>Att. Ord. Az. Viliago - Allevam. Ovini - Burlina</v>
      </c>
      <c r="Q195" s="619" t="s">
        <v>1996</v>
      </c>
      <c r="R195" s="642" t="s">
        <v>1018</v>
      </c>
    </row>
    <row r="196" spans="1:18" ht="28.5" customHeight="1" outlineLevel="2">
      <c r="A196" s="85" t="s">
        <v>588</v>
      </c>
      <c r="B196" s="400" t="s">
        <v>1861</v>
      </c>
      <c r="C196" s="85" t="s">
        <v>894</v>
      </c>
      <c r="D196" s="148" t="s">
        <v>7</v>
      </c>
      <c r="E196" s="87">
        <v>2018</v>
      </c>
      <c r="F196" s="88">
        <v>50</v>
      </c>
      <c r="G196" s="120" t="s">
        <v>1000</v>
      </c>
      <c r="H196" s="581" t="s">
        <v>1029</v>
      </c>
      <c r="I196" s="601">
        <v>2600</v>
      </c>
      <c r="J196" s="595" t="s">
        <v>9</v>
      </c>
      <c r="K196" s="91">
        <v>1</v>
      </c>
      <c r="L196" s="91">
        <v>3</v>
      </c>
      <c r="M196" s="92">
        <v>35</v>
      </c>
      <c r="N196" s="119" t="str">
        <f>VLOOKUP(M196,'PF Uscite Sp. Corr.'!$C$1:$E$100,2,FALSE)</f>
        <v>Medicinali e altri beni di consumo sanitario</v>
      </c>
      <c r="O196" s="131">
        <v>1142</v>
      </c>
      <c r="P196" s="614" t="str">
        <f>VLOOKUP(O196,'Centri di Costo'!$A$2:$B$179,2,FALSE)</f>
        <v>Att. Ord. Az. Viliago - Allevam. Ovini - Burlina</v>
      </c>
      <c r="Q196" s="619" t="s">
        <v>1996</v>
      </c>
      <c r="R196" s="642" t="s">
        <v>1030</v>
      </c>
    </row>
    <row r="197" spans="1:18" ht="28.5" customHeight="1" outlineLevel="2">
      <c r="A197" s="85" t="s">
        <v>588</v>
      </c>
      <c r="B197" s="400" t="s">
        <v>1861</v>
      </c>
      <c r="C197" s="85" t="s">
        <v>894</v>
      </c>
      <c r="D197" s="148" t="s">
        <v>7</v>
      </c>
      <c r="E197" s="87">
        <v>2018</v>
      </c>
      <c r="F197" s="88">
        <v>50</v>
      </c>
      <c r="G197" s="120" t="s">
        <v>1000</v>
      </c>
      <c r="H197" s="581" t="s">
        <v>1014</v>
      </c>
      <c r="I197" s="601">
        <v>4500</v>
      </c>
      <c r="J197" s="595" t="s">
        <v>9</v>
      </c>
      <c r="K197" s="91">
        <v>1</v>
      </c>
      <c r="L197" s="91">
        <v>3</v>
      </c>
      <c r="M197" s="92">
        <v>45</v>
      </c>
      <c r="N197" s="119" t="str">
        <f>VLOOKUP(M197,'PF Uscite Sp. Corr.'!$C$1:$E$100,2,FALSE)</f>
        <v>Utenze e canoni</v>
      </c>
      <c r="O197" s="131">
        <v>1141</v>
      </c>
      <c r="P197" s="614" t="str">
        <f>VLOOKUP(O197,'Centri di Costo'!$A$2:$B$179,2,FALSE)</f>
        <v>Att. Ord. Az. Villiago - Prati Pascoli</v>
      </c>
      <c r="Q197" s="624" t="s">
        <v>2014</v>
      </c>
      <c r="R197" s="642" t="s">
        <v>514</v>
      </c>
    </row>
    <row r="198" spans="1:18" ht="28.5" customHeight="1" outlineLevel="2">
      <c r="A198" s="85" t="s">
        <v>588</v>
      </c>
      <c r="B198" s="400" t="s">
        <v>1861</v>
      </c>
      <c r="C198" s="85" t="s">
        <v>894</v>
      </c>
      <c r="D198" s="148" t="s">
        <v>7</v>
      </c>
      <c r="E198" s="87">
        <v>2018</v>
      </c>
      <c r="F198" s="88">
        <v>50</v>
      </c>
      <c r="G198" s="120" t="s">
        <v>1000</v>
      </c>
      <c r="H198" s="581" t="s">
        <v>1012</v>
      </c>
      <c r="I198" s="601">
        <v>1500</v>
      </c>
      <c r="J198" s="595" t="s">
        <v>9</v>
      </c>
      <c r="K198" s="91">
        <v>1</v>
      </c>
      <c r="L198" s="91">
        <v>3</v>
      </c>
      <c r="M198" s="92">
        <v>47</v>
      </c>
      <c r="N198" s="119" t="str">
        <f>VLOOKUP(M198,'PF Uscite Sp. Corr.'!$C$1:$E$100,2,FALSE)</f>
        <v>Utilizzo di beni di terzi</v>
      </c>
      <c r="O198" s="131">
        <v>1141</v>
      </c>
      <c r="P198" s="614" t="str">
        <f>VLOOKUP(O198,'Centri di Costo'!$A$2:$B$179,2,FALSE)</f>
        <v>Att. Ord. Az. Villiago - Prati Pascoli</v>
      </c>
      <c r="Q198" s="619" t="s">
        <v>1996</v>
      </c>
      <c r="R198" s="642" t="s">
        <v>1013</v>
      </c>
    </row>
    <row r="199" spans="1:18" ht="28.5" customHeight="1" outlineLevel="2">
      <c r="A199" s="85" t="s">
        <v>588</v>
      </c>
      <c r="B199" s="400" t="s">
        <v>1861</v>
      </c>
      <c r="C199" s="85" t="s">
        <v>894</v>
      </c>
      <c r="D199" s="148" t="s">
        <v>7</v>
      </c>
      <c r="E199" s="87">
        <v>2018</v>
      </c>
      <c r="F199" s="88">
        <v>50</v>
      </c>
      <c r="G199" s="120" t="s">
        <v>1000</v>
      </c>
      <c r="H199" s="581" t="s">
        <v>1002</v>
      </c>
      <c r="I199" s="601">
        <v>500</v>
      </c>
      <c r="J199" s="595" t="s">
        <v>9</v>
      </c>
      <c r="K199" s="91">
        <v>1</v>
      </c>
      <c r="L199" s="91">
        <v>3</v>
      </c>
      <c r="M199" s="92">
        <v>49</v>
      </c>
      <c r="N199" s="119" t="str">
        <f>VLOOKUP(M199,'PF Uscite Sp. Corr.'!$C$1:$E$100,2,FALSE)</f>
        <v>Manutenzione ordinaria e riparazioni</v>
      </c>
      <c r="O199" s="131">
        <v>1141</v>
      </c>
      <c r="P199" s="614" t="str">
        <f>VLOOKUP(O199,'Centri di Costo'!$A$2:$B$179,2,FALSE)</f>
        <v>Att. Ord. Az. Villiago - Prati Pascoli</v>
      </c>
      <c r="Q199" s="619" t="s">
        <v>1996</v>
      </c>
      <c r="R199" s="642" t="s">
        <v>1003</v>
      </c>
    </row>
    <row r="200" spans="1:18" ht="28.5" customHeight="1" outlineLevel="2">
      <c r="A200" s="85" t="s">
        <v>588</v>
      </c>
      <c r="B200" s="400" t="s">
        <v>1861</v>
      </c>
      <c r="C200" s="85" t="s">
        <v>894</v>
      </c>
      <c r="D200" s="148" t="s">
        <v>7</v>
      </c>
      <c r="E200" s="87">
        <v>2018</v>
      </c>
      <c r="F200" s="88">
        <v>50</v>
      </c>
      <c r="G200" s="120" t="s">
        <v>1000</v>
      </c>
      <c r="H200" s="581" t="s">
        <v>1004</v>
      </c>
      <c r="I200" s="601">
        <v>2500</v>
      </c>
      <c r="J200" s="595" t="s">
        <v>9</v>
      </c>
      <c r="K200" s="91">
        <v>1</v>
      </c>
      <c r="L200" s="91">
        <v>3</v>
      </c>
      <c r="M200" s="92">
        <v>49</v>
      </c>
      <c r="N200" s="119" t="str">
        <f>VLOOKUP(M200,'PF Uscite Sp. Corr.'!$C$1:$E$100,2,FALSE)</f>
        <v>Manutenzione ordinaria e riparazioni</v>
      </c>
      <c r="O200" s="131">
        <v>1141</v>
      </c>
      <c r="P200" s="614" t="str">
        <f>VLOOKUP(O200,'Centri di Costo'!$A$2:$B$179,2,FALSE)</f>
        <v>Att. Ord. Az. Villiago - Prati Pascoli</v>
      </c>
      <c r="Q200" s="619" t="s">
        <v>1996</v>
      </c>
      <c r="R200" s="642" t="s">
        <v>1005</v>
      </c>
    </row>
    <row r="201" spans="1:18" ht="28.5" customHeight="1" outlineLevel="2">
      <c r="A201" s="85" t="s">
        <v>588</v>
      </c>
      <c r="B201" s="400" t="s">
        <v>1861</v>
      </c>
      <c r="C201" s="85" t="s">
        <v>894</v>
      </c>
      <c r="D201" s="148" t="s">
        <v>7</v>
      </c>
      <c r="E201" s="87">
        <v>2018</v>
      </c>
      <c r="F201" s="88">
        <v>50</v>
      </c>
      <c r="G201" s="120" t="s">
        <v>1000</v>
      </c>
      <c r="H201" s="581" t="s">
        <v>1006</v>
      </c>
      <c r="I201" s="601">
        <v>3000</v>
      </c>
      <c r="J201" s="595" t="s">
        <v>9</v>
      </c>
      <c r="K201" s="91">
        <v>1</v>
      </c>
      <c r="L201" s="91">
        <v>3</v>
      </c>
      <c r="M201" s="92">
        <v>49</v>
      </c>
      <c r="N201" s="119" t="str">
        <f>VLOOKUP(M201,'PF Uscite Sp. Corr.'!$C$1:$E$100,2,FALSE)</f>
        <v>Manutenzione ordinaria e riparazioni</v>
      </c>
      <c r="O201" s="131">
        <v>1141</v>
      </c>
      <c r="P201" s="614" t="str">
        <f>VLOOKUP(O201,'Centri di Costo'!$A$2:$B$179,2,FALSE)</f>
        <v>Att. Ord. Az. Villiago - Prati Pascoli</v>
      </c>
      <c r="Q201" s="619" t="s">
        <v>1996</v>
      </c>
      <c r="R201" s="642" t="s">
        <v>1007</v>
      </c>
    </row>
    <row r="202" spans="1:18" ht="28.5" customHeight="1" outlineLevel="2">
      <c r="A202" s="85" t="s">
        <v>588</v>
      </c>
      <c r="B202" s="400" t="s">
        <v>1861</v>
      </c>
      <c r="C202" s="85" t="s">
        <v>894</v>
      </c>
      <c r="D202" s="148" t="s">
        <v>7</v>
      </c>
      <c r="E202" s="87">
        <v>2018</v>
      </c>
      <c r="F202" s="88">
        <v>50</v>
      </c>
      <c r="G202" s="120" t="s">
        <v>1000</v>
      </c>
      <c r="H202" s="581" t="s">
        <v>1008</v>
      </c>
      <c r="I202" s="601">
        <v>2000</v>
      </c>
      <c r="J202" s="595" t="s">
        <v>9</v>
      </c>
      <c r="K202" s="91">
        <v>1</v>
      </c>
      <c r="L202" s="91">
        <v>3</v>
      </c>
      <c r="M202" s="92">
        <v>49</v>
      </c>
      <c r="N202" s="119" t="str">
        <f>VLOOKUP(M202,'PF Uscite Sp. Corr.'!$C$1:$E$100,2,FALSE)</f>
        <v>Manutenzione ordinaria e riparazioni</v>
      </c>
      <c r="O202" s="131">
        <v>1141</v>
      </c>
      <c r="P202" s="614" t="str">
        <f>VLOOKUP(O202,'Centri di Costo'!$A$2:$B$179,2,FALSE)</f>
        <v>Att. Ord. Az. Villiago - Prati Pascoli</v>
      </c>
      <c r="Q202" s="619" t="s">
        <v>1996</v>
      </c>
      <c r="R202" s="642" t="s">
        <v>1009</v>
      </c>
    </row>
    <row r="203" spans="1:18" ht="28.5" customHeight="1" outlineLevel="2">
      <c r="A203" s="85" t="s">
        <v>588</v>
      </c>
      <c r="B203" s="400" t="s">
        <v>1861</v>
      </c>
      <c r="C203" s="85" t="s">
        <v>894</v>
      </c>
      <c r="D203" s="148" t="s">
        <v>7</v>
      </c>
      <c r="E203" s="87">
        <v>2018</v>
      </c>
      <c r="F203" s="88">
        <v>50</v>
      </c>
      <c r="G203" s="120" t="s">
        <v>1000</v>
      </c>
      <c r="H203" s="581" t="s">
        <v>1010</v>
      </c>
      <c r="I203" s="601">
        <v>5500</v>
      </c>
      <c r="J203" s="595" t="s">
        <v>9</v>
      </c>
      <c r="K203" s="91">
        <v>1</v>
      </c>
      <c r="L203" s="91">
        <v>3</v>
      </c>
      <c r="M203" s="92">
        <v>49</v>
      </c>
      <c r="N203" s="119" t="str">
        <f>VLOOKUP(M203,'PF Uscite Sp. Corr.'!$C$1:$E$100,2,FALSE)</f>
        <v>Manutenzione ordinaria e riparazioni</v>
      </c>
      <c r="O203" s="131">
        <v>1141</v>
      </c>
      <c r="P203" s="614" t="str">
        <f>VLOOKUP(O203,'Centri di Costo'!$A$2:$B$179,2,FALSE)</f>
        <v>Att. Ord. Az. Villiago - Prati Pascoli</v>
      </c>
      <c r="Q203" s="619" t="s">
        <v>1996</v>
      </c>
      <c r="R203" s="642" t="s">
        <v>1011</v>
      </c>
    </row>
    <row r="204" spans="1:18" ht="28.5" customHeight="1" outlineLevel="2">
      <c r="A204" s="85" t="s">
        <v>588</v>
      </c>
      <c r="B204" s="400" t="s">
        <v>1861</v>
      </c>
      <c r="C204" s="85" t="s">
        <v>894</v>
      </c>
      <c r="D204" s="148" t="s">
        <v>7</v>
      </c>
      <c r="E204" s="87">
        <v>2018</v>
      </c>
      <c r="F204" s="88">
        <v>50</v>
      </c>
      <c r="G204" s="120" t="s">
        <v>1000</v>
      </c>
      <c r="H204" s="581" t="s">
        <v>1015</v>
      </c>
      <c r="I204" s="601">
        <v>800</v>
      </c>
      <c r="J204" s="595" t="s">
        <v>9</v>
      </c>
      <c r="K204" s="91">
        <v>1</v>
      </c>
      <c r="L204" s="91">
        <v>3</v>
      </c>
      <c r="M204" s="92">
        <v>51</v>
      </c>
      <c r="N204" s="119" t="str">
        <f>VLOOKUP(M204,'PF Uscite Sp. Corr.'!$C$1:$E$100,2,FALSE)</f>
        <v>Prestazioni professionali e specialistiche</v>
      </c>
      <c r="O204" s="131">
        <v>1148</v>
      </c>
      <c r="P204" s="614" t="str">
        <f>VLOOKUP(O204,'Centri di Costo'!$A$2:$B$179,2,FALSE)</f>
        <v>Att. Ord. Villiago - Spese Generali</v>
      </c>
      <c r="Q204" s="619" t="s">
        <v>2029</v>
      </c>
      <c r="R204" s="642" t="s">
        <v>1016</v>
      </c>
    </row>
    <row r="205" spans="1:18" ht="38.25" customHeight="1" outlineLevel="2">
      <c r="A205" s="85" t="s">
        <v>588</v>
      </c>
      <c r="B205" s="400" t="s">
        <v>1861</v>
      </c>
      <c r="C205" s="85" t="s">
        <v>894</v>
      </c>
      <c r="D205" s="148" t="s">
        <v>7</v>
      </c>
      <c r="E205" s="87">
        <v>2018</v>
      </c>
      <c r="F205" s="88">
        <v>50</v>
      </c>
      <c r="G205" s="120" t="s">
        <v>1000</v>
      </c>
      <c r="H205" s="581" t="s">
        <v>1038</v>
      </c>
      <c r="I205" s="601">
        <v>6500</v>
      </c>
      <c r="J205" s="595" t="s">
        <v>9</v>
      </c>
      <c r="K205" s="91">
        <v>1</v>
      </c>
      <c r="L205" s="91">
        <v>3</v>
      </c>
      <c r="M205" s="92">
        <v>51</v>
      </c>
      <c r="N205" s="119" t="str">
        <f>VLOOKUP(M205,'PF Uscite Sp. Corr.'!$C$1:$E$100,2,FALSE)</f>
        <v>Prestazioni professionali e specialistiche</v>
      </c>
      <c r="O205" s="131">
        <v>1142</v>
      </c>
      <c r="P205" s="614" t="str">
        <f>VLOOKUP(O205,'Centri di Costo'!$A$2:$B$179,2,FALSE)</f>
        <v>Att. Ord. Az. Viliago - Allevam. Ovini - Burlina</v>
      </c>
      <c r="Q205" s="619" t="s">
        <v>1996</v>
      </c>
      <c r="R205" s="642" t="s">
        <v>538</v>
      </c>
    </row>
    <row r="206" spans="1:18" ht="28.5" customHeight="1" outlineLevel="2">
      <c r="A206" s="85" t="s">
        <v>588</v>
      </c>
      <c r="B206" s="400" t="s">
        <v>1861</v>
      </c>
      <c r="C206" s="85" t="s">
        <v>894</v>
      </c>
      <c r="D206" s="148" t="s">
        <v>7</v>
      </c>
      <c r="E206" s="87">
        <v>2018</v>
      </c>
      <c r="F206" s="88">
        <v>50</v>
      </c>
      <c r="G206" s="120" t="s">
        <v>1000</v>
      </c>
      <c r="H206" s="581" t="s">
        <v>1031</v>
      </c>
      <c r="I206" s="601">
        <v>1200</v>
      </c>
      <c r="J206" s="595" t="s">
        <v>9</v>
      </c>
      <c r="K206" s="91">
        <v>1</v>
      </c>
      <c r="L206" s="91">
        <v>3</v>
      </c>
      <c r="M206" s="92">
        <v>53</v>
      </c>
      <c r="N206" s="119" t="str">
        <f>VLOOKUP(M206,'PF Uscite Sp. Corr.'!$C$1:$E$100,2,FALSE)</f>
        <v>Servizi ausiliari per il funzionamento dell'ente</v>
      </c>
      <c r="O206" s="131">
        <v>1141</v>
      </c>
      <c r="P206" s="614" t="str">
        <f>VLOOKUP(O206,'Centri di Costo'!$A$2:$B$179,2,FALSE)</f>
        <v>Att. Ord. Az. Villiago - Prati Pascoli</v>
      </c>
      <c r="Q206" s="619" t="s">
        <v>1996</v>
      </c>
      <c r="R206" s="642" t="s">
        <v>1032</v>
      </c>
    </row>
    <row r="207" spans="1:18" ht="28.5" customHeight="1" outlineLevel="2">
      <c r="A207" s="85" t="s">
        <v>588</v>
      </c>
      <c r="B207" s="400" t="s">
        <v>1861</v>
      </c>
      <c r="C207" s="85" t="s">
        <v>894</v>
      </c>
      <c r="D207" s="148" t="s">
        <v>7</v>
      </c>
      <c r="E207" s="87">
        <v>2018</v>
      </c>
      <c r="F207" s="88">
        <v>50</v>
      </c>
      <c r="G207" s="120" t="s">
        <v>1000</v>
      </c>
      <c r="H207" s="581" t="s">
        <v>1033</v>
      </c>
      <c r="I207" s="601">
        <v>1000</v>
      </c>
      <c r="J207" s="595" t="s">
        <v>9</v>
      </c>
      <c r="K207" s="91">
        <v>1</v>
      </c>
      <c r="L207" s="91">
        <v>3</v>
      </c>
      <c r="M207" s="92">
        <v>53</v>
      </c>
      <c r="N207" s="119" t="str">
        <f>VLOOKUP(M207,'PF Uscite Sp. Corr.'!$C$1:$E$100,2,FALSE)</f>
        <v>Servizi ausiliari per il funzionamento dell'ente</v>
      </c>
      <c r="O207" s="131">
        <v>1142</v>
      </c>
      <c r="P207" s="614" t="str">
        <f>VLOOKUP(O207,'Centri di Costo'!$A$2:$B$179,2,FALSE)</f>
        <v>Att. Ord. Az. Viliago - Allevam. Ovini - Burlina</v>
      </c>
      <c r="Q207" s="619" t="s">
        <v>1996</v>
      </c>
      <c r="R207" s="642" t="s">
        <v>1034</v>
      </c>
    </row>
    <row r="208" spans="1:18" ht="28.5" customHeight="1" outlineLevel="2">
      <c r="A208" s="85" t="s">
        <v>588</v>
      </c>
      <c r="B208" s="400" t="s">
        <v>1861</v>
      </c>
      <c r="C208" s="85" t="s">
        <v>894</v>
      </c>
      <c r="D208" s="148" t="s">
        <v>7</v>
      </c>
      <c r="E208" s="87">
        <v>2018</v>
      </c>
      <c r="F208" s="88">
        <v>50</v>
      </c>
      <c r="G208" s="120" t="s">
        <v>1000</v>
      </c>
      <c r="H208" s="581" t="s">
        <v>1035</v>
      </c>
      <c r="I208" s="601">
        <v>1500</v>
      </c>
      <c r="J208" s="595" t="s">
        <v>9</v>
      </c>
      <c r="K208" s="91">
        <v>1</v>
      </c>
      <c r="L208" s="91">
        <v>3</v>
      </c>
      <c r="M208" s="92">
        <v>53</v>
      </c>
      <c r="N208" s="119" t="str">
        <f>VLOOKUP(M208,'PF Uscite Sp. Corr.'!$C$1:$E$100,2,FALSE)</f>
        <v>Servizi ausiliari per il funzionamento dell'ente</v>
      </c>
      <c r="O208" s="131">
        <v>1142</v>
      </c>
      <c r="P208" s="614" t="str">
        <f>VLOOKUP(O208,'Centri di Costo'!$A$2:$B$179,2,FALSE)</f>
        <v>Att. Ord. Az. Viliago - Allevam. Ovini - Burlina</v>
      </c>
      <c r="Q208" s="619" t="s">
        <v>1996</v>
      </c>
      <c r="R208" s="642" t="s">
        <v>1034</v>
      </c>
    </row>
    <row r="209" spans="1:18" ht="28.5" customHeight="1" outlineLevel="2">
      <c r="A209" s="85" t="s">
        <v>588</v>
      </c>
      <c r="B209" s="400" t="s">
        <v>1861</v>
      </c>
      <c r="C209" s="85" t="s">
        <v>894</v>
      </c>
      <c r="D209" s="148" t="s">
        <v>7</v>
      </c>
      <c r="E209" s="87">
        <v>2018</v>
      </c>
      <c r="F209" s="88">
        <v>50</v>
      </c>
      <c r="G209" s="120" t="s">
        <v>1000</v>
      </c>
      <c r="H209" s="581" t="s">
        <v>1036</v>
      </c>
      <c r="I209" s="601">
        <v>7500</v>
      </c>
      <c r="J209" s="595" t="s">
        <v>9</v>
      </c>
      <c r="K209" s="91">
        <v>1</v>
      </c>
      <c r="L209" s="91">
        <v>3</v>
      </c>
      <c r="M209" s="92">
        <v>53</v>
      </c>
      <c r="N209" s="119" t="str">
        <f>VLOOKUP(M209,'PF Uscite Sp. Corr.'!$C$1:$E$100,2,FALSE)</f>
        <v>Servizi ausiliari per il funzionamento dell'ente</v>
      </c>
      <c r="O209" s="131">
        <v>1141</v>
      </c>
      <c r="P209" s="614" t="str">
        <f>VLOOKUP(O209,'Centri di Costo'!$A$2:$B$179,2,FALSE)</f>
        <v>Att. Ord. Az. Villiago - Prati Pascoli</v>
      </c>
      <c r="Q209" s="619" t="s">
        <v>1996</v>
      </c>
      <c r="R209" s="642" t="s">
        <v>1037</v>
      </c>
    </row>
    <row r="210" spans="1:18" ht="28.5" customHeight="1" outlineLevel="2">
      <c r="A210" s="85" t="s">
        <v>588</v>
      </c>
      <c r="B210" s="400" t="s">
        <v>1861</v>
      </c>
      <c r="C210" s="85" t="s">
        <v>894</v>
      </c>
      <c r="D210" s="148" t="s">
        <v>7</v>
      </c>
      <c r="E210" s="87">
        <v>2018</v>
      </c>
      <c r="F210" s="88">
        <v>50</v>
      </c>
      <c r="G210" s="120" t="s">
        <v>1000</v>
      </c>
      <c r="H210" s="581" t="s">
        <v>1041</v>
      </c>
      <c r="I210" s="601">
        <v>2300</v>
      </c>
      <c r="J210" s="595" t="s">
        <v>9</v>
      </c>
      <c r="K210" s="91">
        <v>1</v>
      </c>
      <c r="L210" s="91">
        <v>3</v>
      </c>
      <c r="M210" s="92">
        <v>53</v>
      </c>
      <c r="N210" s="119" t="str">
        <f>VLOOKUP(M210,'PF Uscite Sp. Corr.'!$C$1:$E$100,2,FALSE)</f>
        <v>Servizi ausiliari per il funzionamento dell'ente</v>
      </c>
      <c r="O210" s="131">
        <v>1148</v>
      </c>
      <c r="P210" s="614" t="str">
        <f>VLOOKUP(O210,'Centri di Costo'!$A$2:$B$179,2,FALSE)</f>
        <v>Att. Ord. Villiago - Spese Generali</v>
      </c>
      <c r="Q210" s="619" t="s">
        <v>1996</v>
      </c>
      <c r="R210" s="642" t="s">
        <v>1042</v>
      </c>
    </row>
    <row r="211" spans="1:18" ht="28.5" customHeight="1" outlineLevel="2">
      <c r="A211" s="85" t="s">
        <v>588</v>
      </c>
      <c r="B211" s="400" t="s">
        <v>1861</v>
      </c>
      <c r="C211" s="85" t="s">
        <v>894</v>
      </c>
      <c r="D211" s="148" t="s">
        <v>7</v>
      </c>
      <c r="E211" s="87">
        <v>2018</v>
      </c>
      <c r="F211" s="88">
        <v>50</v>
      </c>
      <c r="G211" s="120" t="s">
        <v>1000</v>
      </c>
      <c r="H211" s="581" t="s">
        <v>1043</v>
      </c>
      <c r="I211" s="601">
        <v>2000</v>
      </c>
      <c r="J211" s="595" t="s">
        <v>9</v>
      </c>
      <c r="K211" s="91">
        <v>1</v>
      </c>
      <c r="L211" s="91">
        <v>3</v>
      </c>
      <c r="M211" s="92">
        <v>53</v>
      </c>
      <c r="N211" s="119" t="str">
        <f>VLOOKUP(M211,'PF Uscite Sp. Corr.'!$C$1:$E$100,2,FALSE)</f>
        <v>Servizi ausiliari per il funzionamento dell'ente</v>
      </c>
      <c r="O211" s="131">
        <v>1141</v>
      </c>
      <c r="P211" s="614" t="str">
        <f>VLOOKUP(O211,'Centri di Costo'!$A$2:$B$179,2,FALSE)</f>
        <v>Att. Ord. Az. Villiago - Prati Pascoli</v>
      </c>
      <c r="Q211" s="619" t="s">
        <v>1996</v>
      </c>
      <c r="R211" s="642" t="s">
        <v>964</v>
      </c>
    </row>
    <row r="212" spans="1:18" ht="28.5" customHeight="1" outlineLevel="2">
      <c r="A212" s="85" t="s">
        <v>588</v>
      </c>
      <c r="B212" s="400" t="s">
        <v>1861</v>
      </c>
      <c r="C212" s="85" t="s">
        <v>894</v>
      </c>
      <c r="D212" s="148" t="s">
        <v>7</v>
      </c>
      <c r="E212" s="87">
        <v>2018</v>
      </c>
      <c r="F212" s="88">
        <v>50</v>
      </c>
      <c r="G212" s="120" t="s">
        <v>1000</v>
      </c>
      <c r="H212" s="581" t="s">
        <v>1046</v>
      </c>
      <c r="I212" s="601">
        <v>1300</v>
      </c>
      <c r="J212" s="595" t="s">
        <v>9</v>
      </c>
      <c r="K212" s="91">
        <v>1</v>
      </c>
      <c r="L212" s="91">
        <v>3</v>
      </c>
      <c r="M212" s="92">
        <v>58</v>
      </c>
      <c r="N212" s="119" t="str">
        <f>VLOOKUP(M212,'PF Uscite Sp. Corr.'!$C$1:$E$100,2,FALSE)</f>
        <v>Servizi sanitari</v>
      </c>
      <c r="O212" s="131">
        <v>1142</v>
      </c>
      <c r="P212" s="614" t="str">
        <f>VLOOKUP(O212,'Centri di Costo'!$A$2:$B$179,2,FALSE)</f>
        <v>Att. Ord. Az. Viliago - Allevam. Ovini - Burlina</v>
      </c>
      <c r="Q212" s="619" t="s">
        <v>1996</v>
      </c>
      <c r="R212" s="642" t="s">
        <v>1047</v>
      </c>
    </row>
    <row r="213" spans="1:18" ht="28.5" customHeight="1" outlineLevel="2">
      <c r="A213" s="85" t="s">
        <v>89</v>
      </c>
      <c r="B213" s="400" t="s">
        <v>1861</v>
      </c>
      <c r="C213" s="85" t="s">
        <v>150</v>
      </c>
      <c r="D213" s="148" t="s">
        <v>7</v>
      </c>
      <c r="E213" s="87">
        <v>2018</v>
      </c>
      <c r="F213" s="88">
        <v>133</v>
      </c>
      <c r="G213" s="120" t="s">
        <v>200</v>
      </c>
      <c r="H213" s="581" t="s">
        <v>205</v>
      </c>
      <c r="I213" s="601">
        <v>1000</v>
      </c>
      <c r="J213" s="595" t="s">
        <v>9</v>
      </c>
      <c r="K213" s="91">
        <v>1</v>
      </c>
      <c r="L213" s="91">
        <v>3</v>
      </c>
      <c r="M213" s="92">
        <v>59</v>
      </c>
      <c r="N213" s="119" t="str">
        <f>VLOOKUP(M213,'PF Uscite Sp. Corr.'!$C$1:$E$100,2,FALSE)</f>
        <v>Servizi informatici e di telecomunicazioni</v>
      </c>
      <c r="O213" s="131">
        <v>1148</v>
      </c>
      <c r="P213" s="614" t="str">
        <f>VLOOKUP(O213,'Centri di Costo'!$A$2:$B$179,2,FALSE)</f>
        <v>Att. Ord. Villiago - Spese Generali</v>
      </c>
      <c r="Q213" s="624" t="s">
        <v>2014</v>
      </c>
      <c r="R213" s="642" t="s">
        <v>202</v>
      </c>
    </row>
    <row r="214" spans="1:18" ht="28.5" customHeight="1" outlineLevel="2">
      <c r="A214" s="85" t="s">
        <v>588</v>
      </c>
      <c r="B214" s="400" t="s">
        <v>1861</v>
      </c>
      <c r="C214" s="85" t="s">
        <v>894</v>
      </c>
      <c r="D214" s="148" t="s">
        <v>7</v>
      </c>
      <c r="E214" s="87">
        <v>2018</v>
      </c>
      <c r="F214" s="88">
        <v>50</v>
      </c>
      <c r="G214" s="120" t="s">
        <v>1000</v>
      </c>
      <c r="H214" s="581" t="s">
        <v>1027</v>
      </c>
      <c r="I214" s="601">
        <v>2500</v>
      </c>
      <c r="J214" s="595" t="s">
        <v>9</v>
      </c>
      <c r="K214" s="91">
        <v>1</v>
      </c>
      <c r="L214" s="91">
        <v>10</v>
      </c>
      <c r="M214" s="92">
        <v>86</v>
      </c>
      <c r="N214" s="119" t="str">
        <f>VLOOKUP(M214,'PF Uscite Sp. Corr.'!$C$1:$E$100,2,FALSE)</f>
        <v>Premi di assicurazione contro i danni</v>
      </c>
      <c r="O214" s="131">
        <v>1141</v>
      </c>
      <c r="P214" s="614" t="str">
        <f>VLOOKUP(O214,'Centri di Costo'!$A$2:$B$179,2,FALSE)</f>
        <v>Att. Ord. Az. Villiago - Prati Pascoli</v>
      </c>
      <c r="Q214" s="623" t="s">
        <v>1996</v>
      </c>
      <c r="R214" s="642" t="s">
        <v>1028</v>
      </c>
    </row>
    <row r="215" spans="1:18" ht="28.5" customHeight="1" outlineLevel="2">
      <c r="A215" s="85" t="s">
        <v>588</v>
      </c>
      <c r="B215" s="400" t="s">
        <v>1861</v>
      </c>
      <c r="C215" s="85" t="s">
        <v>894</v>
      </c>
      <c r="D215" s="148" t="s">
        <v>7</v>
      </c>
      <c r="E215" s="87">
        <v>2018</v>
      </c>
      <c r="F215" s="88">
        <v>50</v>
      </c>
      <c r="G215" s="120" t="s">
        <v>1000</v>
      </c>
      <c r="H215" s="581" t="s">
        <v>1039</v>
      </c>
      <c r="I215" s="601">
        <v>2000</v>
      </c>
      <c r="J215" s="595" t="s">
        <v>9</v>
      </c>
      <c r="K215" s="91">
        <v>1</v>
      </c>
      <c r="L215" s="91">
        <v>10</v>
      </c>
      <c r="M215" s="92">
        <v>86</v>
      </c>
      <c r="N215" s="119" t="str">
        <f>VLOOKUP(M215,'PF Uscite Sp. Corr.'!$C$1:$E$100,2,FALSE)</f>
        <v>Premi di assicurazione contro i danni</v>
      </c>
      <c r="O215" s="131">
        <v>1148</v>
      </c>
      <c r="P215" s="614" t="str">
        <f>VLOOKUP(O215,'Centri di Costo'!$A$2:$B$179,2,FALSE)</f>
        <v>Att. Ord. Villiago - Spese Generali</v>
      </c>
      <c r="Q215" s="624" t="s">
        <v>2014</v>
      </c>
      <c r="R215" s="642" t="s">
        <v>1040</v>
      </c>
    </row>
    <row r="216" spans="1:18" s="139" customFormat="1" ht="28.5" customHeight="1" outlineLevel="2">
      <c r="A216" s="115" t="s">
        <v>588</v>
      </c>
      <c r="B216" s="401" t="s">
        <v>1861</v>
      </c>
      <c r="C216" s="115" t="s">
        <v>894</v>
      </c>
      <c r="D216" s="417" t="s">
        <v>7</v>
      </c>
      <c r="E216" s="412">
        <v>2018</v>
      </c>
      <c r="F216" s="413">
        <v>50</v>
      </c>
      <c r="G216" s="123" t="s">
        <v>1000</v>
      </c>
      <c r="H216" s="583" t="s">
        <v>1044</v>
      </c>
      <c r="I216" s="603">
        <v>900</v>
      </c>
      <c r="J216" s="596" t="s">
        <v>9</v>
      </c>
      <c r="K216" s="216">
        <v>1</v>
      </c>
      <c r="L216" s="216">
        <v>10</v>
      </c>
      <c r="M216" s="418">
        <v>86</v>
      </c>
      <c r="N216" s="118" t="str">
        <f>VLOOKUP(M216,'PF Uscite Sp. Corr.'!$C$1:$E$100,2,FALSE)</f>
        <v>Premi di assicurazione contro i danni</v>
      </c>
      <c r="O216" s="419">
        <v>1148</v>
      </c>
      <c r="P216" s="615" t="str">
        <f>VLOOKUP(O216,'Centri di Costo'!$A$2:$B$179,2,FALSE)</f>
        <v>Att. Ord. Villiago - Spese Generali</v>
      </c>
      <c r="Q216" s="624" t="s">
        <v>2014</v>
      </c>
      <c r="R216" s="648" t="s">
        <v>1045</v>
      </c>
    </row>
    <row r="217" spans="1:18" s="215" customFormat="1" ht="20.25" customHeight="1" outlineLevel="1" collapsed="1">
      <c r="A217" s="160"/>
      <c r="B217" s="433" t="s">
        <v>1896</v>
      </c>
      <c r="C217" s="161"/>
      <c r="D217" s="437"/>
      <c r="E217" s="438"/>
      <c r="F217" s="438"/>
      <c r="G217" s="441" t="s">
        <v>1938</v>
      </c>
      <c r="H217" s="214" t="s">
        <v>1942</v>
      </c>
      <c r="I217" s="605">
        <f>SUBTOTAL(9,I186:I216)</f>
        <v>188450</v>
      </c>
      <c r="J217" s="212"/>
      <c r="K217" s="179"/>
      <c r="L217" s="179"/>
      <c r="M217" s="213"/>
      <c r="N217" s="434"/>
      <c r="O217" s="439"/>
      <c r="P217" s="435"/>
      <c r="Q217" s="620"/>
      <c r="R217" s="645"/>
    </row>
    <row r="218" spans="1:18" s="205" customFormat="1" ht="13.5" customHeight="1">
      <c r="A218" s="535"/>
      <c r="B218" s="536"/>
      <c r="C218" s="537"/>
      <c r="D218" s="537"/>
      <c r="E218" s="537"/>
      <c r="F218" s="540"/>
      <c r="G218" s="537" t="str">
        <f>C219</f>
        <v>SETTORE CENTRI SPERIMENTALI</v>
      </c>
      <c r="H218" s="537"/>
      <c r="I218" s="599"/>
      <c r="J218" s="537"/>
      <c r="K218" s="537"/>
      <c r="L218" s="537"/>
      <c r="M218" s="537"/>
      <c r="N218" s="537"/>
      <c r="O218" s="538"/>
      <c r="P218" s="539"/>
      <c r="Q218" s="618"/>
      <c r="R218" s="638"/>
    </row>
    <row r="219" spans="1:18" ht="28.5" customHeight="1" outlineLevel="2">
      <c r="A219" s="94" t="s">
        <v>588</v>
      </c>
      <c r="B219" s="402" t="s">
        <v>1862</v>
      </c>
      <c r="C219" s="94" t="s">
        <v>759</v>
      </c>
      <c r="D219" s="149" t="s">
        <v>7</v>
      </c>
      <c r="E219" s="101">
        <v>2018</v>
      </c>
      <c r="F219" s="102">
        <v>75</v>
      </c>
      <c r="G219" s="121" t="s">
        <v>760</v>
      </c>
      <c r="H219" s="585" t="s">
        <v>1535</v>
      </c>
      <c r="I219" s="600">
        <f>250500+14200</f>
        <v>264700</v>
      </c>
      <c r="J219" s="594" t="s">
        <v>9</v>
      </c>
      <c r="K219" s="99">
        <v>1</v>
      </c>
      <c r="L219" s="99">
        <v>1</v>
      </c>
      <c r="M219" s="209" t="s">
        <v>1532</v>
      </c>
      <c r="N219" s="577" t="str">
        <f>VLOOKUP(M219,'PF Uscite Sp. Corr.'!$C$1:$E$100,2,FALSE)</f>
        <v>Salari, Oneri Sociali, Acc. TFR, Buoni Pasto (e IRAP su retribuz. se dovuta) OTI</v>
      </c>
      <c r="O219" s="132">
        <v>1410</v>
      </c>
      <c r="P219" s="613" t="str">
        <f>VLOOKUP(O219,'Centri di Costo'!$A$2:$B$179,2,FALSE)</f>
        <v xml:space="preserve">Po di Tramontana - Totale Attività Ordinaria </v>
      </c>
      <c r="Q219" s="621" t="s">
        <v>1998</v>
      </c>
      <c r="R219" s="639" t="s">
        <v>427</v>
      </c>
    </row>
    <row r="220" spans="1:18" ht="28.5" customHeight="1" outlineLevel="2">
      <c r="A220" s="85" t="s">
        <v>588</v>
      </c>
      <c r="B220" s="400" t="s">
        <v>1862</v>
      </c>
      <c r="C220" s="85" t="s">
        <v>759</v>
      </c>
      <c r="D220" s="148" t="s">
        <v>7</v>
      </c>
      <c r="E220" s="87">
        <v>2018</v>
      </c>
      <c r="F220" s="88">
        <v>78</v>
      </c>
      <c r="G220" s="120" t="s">
        <v>804</v>
      </c>
      <c r="H220" s="586" t="s">
        <v>1536</v>
      </c>
      <c r="I220" s="601">
        <f>183450+10425</f>
        <v>193875</v>
      </c>
      <c r="J220" s="595" t="s">
        <v>9</v>
      </c>
      <c r="K220" s="91">
        <v>1</v>
      </c>
      <c r="L220" s="91">
        <v>1</v>
      </c>
      <c r="M220" s="232" t="s">
        <v>1530</v>
      </c>
      <c r="N220" s="578" t="str">
        <f>VLOOKUP(M220,'PF Uscite Sp. Corr.'!$C$1:$E$100,2,FALSE)</f>
        <v>Salari, Oneri Sociali, Acc. TFR, Buoni Pasto (e IRAP su retribuz. se dovuta) OTD</v>
      </c>
      <c r="O220" s="131">
        <v>1410</v>
      </c>
      <c r="P220" s="614" t="str">
        <f>VLOOKUP(O220,'Centri di Costo'!$A$2:$B$179,2,FALSE)</f>
        <v xml:space="preserve">Po di Tramontana - Totale Attività Ordinaria </v>
      </c>
      <c r="Q220" s="621" t="s">
        <v>1998</v>
      </c>
      <c r="R220" s="642" t="s">
        <v>484</v>
      </c>
    </row>
    <row r="221" spans="1:18" ht="28.5" customHeight="1" outlineLevel="2">
      <c r="A221" s="85" t="s">
        <v>588</v>
      </c>
      <c r="B221" s="400" t="s">
        <v>1862</v>
      </c>
      <c r="C221" s="85" t="s">
        <v>759</v>
      </c>
      <c r="D221" s="148" t="s">
        <v>7</v>
      </c>
      <c r="E221" s="87">
        <v>2018</v>
      </c>
      <c r="F221" s="88">
        <v>79</v>
      </c>
      <c r="G221" s="120" t="s">
        <v>818</v>
      </c>
      <c r="H221" s="586" t="s">
        <v>1536</v>
      </c>
      <c r="I221" s="601">
        <f>61150+3475</f>
        <v>64625</v>
      </c>
      <c r="J221" s="595" t="s">
        <v>9</v>
      </c>
      <c r="K221" s="91">
        <v>1</v>
      </c>
      <c r="L221" s="91">
        <v>1</v>
      </c>
      <c r="M221" s="232" t="s">
        <v>1530</v>
      </c>
      <c r="N221" s="578" t="str">
        <f>VLOOKUP(M221,'PF Uscite Sp. Corr.'!$C$1:$E$100,2,FALSE)</f>
        <v>Salari, Oneri Sociali, Acc. TFR, Buoni Pasto (e IRAP su retribuz. se dovuta) OTD</v>
      </c>
      <c r="O221" s="131">
        <v>1410</v>
      </c>
      <c r="P221" s="614" t="str">
        <f>VLOOKUP(O221,'Centri di Costo'!$A$2:$B$179,2,FALSE)</f>
        <v xml:space="preserve">Po di Tramontana - Totale Attività Ordinaria </v>
      </c>
      <c r="Q221" s="621" t="s">
        <v>1998</v>
      </c>
      <c r="R221" s="642" t="s">
        <v>484</v>
      </c>
    </row>
    <row r="222" spans="1:18" ht="28.5" customHeight="1" outlineLevel="2">
      <c r="A222" s="85" t="s">
        <v>588</v>
      </c>
      <c r="B222" s="400" t="s">
        <v>1862</v>
      </c>
      <c r="C222" s="85" t="s">
        <v>759</v>
      </c>
      <c r="D222" s="148" t="s">
        <v>7</v>
      </c>
      <c r="E222" s="87">
        <v>2018</v>
      </c>
      <c r="F222" s="88">
        <v>75</v>
      </c>
      <c r="G222" s="120" t="s">
        <v>760</v>
      </c>
      <c r="H222" s="581" t="s">
        <v>779</v>
      </c>
      <c r="I222" s="601">
        <v>150</v>
      </c>
      <c r="J222" s="595" t="s">
        <v>9</v>
      </c>
      <c r="K222" s="91">
        <v>1</v>
      </c>
      <c r="L222" s="91">
        <v>2</v>
      </c>
      <c r="M222" s="92">
        <v>12</v>
      </c>
      <c r="N222" s="119" t="str">
        <f>VLOOKUP(M222,'PF Uscite Sp. Corr.'!$C$1:$E$100,2,FALSE)</f>
        <v>Imposta di registro e di bollo</v>
      </c>
      <c r="O222" s="131">
        <v>1410</v>
      </c>
      <c r="P222" s="614" t="str">
        <f>VLOOKUP(O222,'Centri di Costo'!$A$2:$B$179,2,FALSE)</f>
        <v xml:space="preserve">Po di Tramontana - Totale Attività Ordinaria </v>
      </c>
      <c r="Q222" s="622" t="s">
        <v>1844</v>
      </c>
      <c r="R222" s="642" t="s">
        <v>47</v>
      </c>
    </row>
    <row r="223" spans="1:18" ht="28.5" customHeight="1" outlineLevel="2">
      <c r="A223" s="85" t="s">
        <v>588</v>
      </c>
      <c r="B223" s="400" t="s">
        <v>1862</v>
      </c>
      <c r="C223" s="85" t="s">
        <v>759</v>
      </c>
      <c r="D223" s="148" t="s">
        <v>7</v>
      </c>
      <c r="E223" s="87">
        <v>2018</v>
      </c>
      <c r="F223" s="88">
        <v>75</v>
      </c>
      <c r="G223" s="120" t="s">
        <v>760</v>
      </c>
      <c r="H223" s="581" t="s">
        <v>784</v>
      </c>
      <c r="I223" s="601">
        <v>5000</v>
      </c>
      <c r="J223" s="595" t="s">
        <v>9</v>
      </c>
      <c r="K223" s="91">
        <v>1</v>
      </c>
      <c r="L223" s="91">
        <v>2</v>
      </c>
      <c r="M223" s="92">
        <v>16</v>
      </c>
      <c r="N223" s="119" t="str">
        <f>VLOOKUP(M223,'PF Uscite Sp. Corr.'!$C$1:$E$100,2,FALSE)</f>
        <v>Tassa e/o tariffa smaltimento rifiuti solidi urbani</v>
      </c>
      <c r="O223" s="131">
        <v>1410</v>
      </c>
      <c r="P223" s="614" t="str">
        <f>VLOOKUP(O223,'Centri di Costo'!$A$2:$B$179,2,FALSE)</f>
        <v xml:space="preserve">Po di Tramontana - Totale Attività Ordinaria </v>
      </c>
      <c r="Q223" s="622" t="s">
        <v>1844</v>
      </c>
      <c r="R223" s="642" t="s">
        <v>71</v>
      </c>
    </row>
    <row r="224" spans="1:18" ht="28.5" customHeight="1" outlineLevel="2">
      <c r="A224" s="85" t="s">
        <v>588</v>
      </c>
      <c r="B224" s="400" t="s">
        <v>1862</v>
      </c>
      <c r="C224" s="85" t="s">
        <v>759</v>
      </c>
      <c r="D224" s="148" t="s">
        <v>7</v>
      </c>
      <c r="E224" s="87">
        <v>2018</v>
      </c>
      <c r="F224" s="88">
        <v>75</v>
      </c>
      <c r="G224" s="120" t="s">
        <v>760</v>
      </c>
      <c r="H224" s="581" t="s">
        <v>783</v>
      </c>
      <c r="I224" s="601">
        <v>500</v>
      </c>
      <c r="J224" s="595" t="s">
        <v>9</v>
      </c>
      <c r="K224" s="91">
        <v>1</v>
      </c>
      <c r="L224" s="91">
        <v>2</v>
      </c>
      <c r="M224" s="92">
        <v>19</v>
      </c>
      <c r="N224" s="119" t="str">
        <f>VLOOKUP(M224,'PF Uscite Sp. Corr.'!$C$1:$E$100,2,FALSE)</f>
        <v>Tassa di circolazione dei veicoli a motore (tassa automobilistica)</v>
      </c>
      <c r="O224" s="131">
        <v>1410</v>
      </c>
      <c r="P224" s="614" t="str">
        <f>VLOOKUP(O224,'Centri di Costo'!$A$2:$B$179,2,FALSE)</f>
        <v xml:space="preserve">Po di Tramontana - Totale Attività Ordinaria </v>
      </c>
      <c r="Q224" s="622" t="s">
        <v>1844</v>
      </c>
      <c r="R224" s="642" t="s">
        <v>132</v>
      </c>
    </row>
    <row r="225" spans="1:18" ht="28.5" customHeight="1" outlineLevel="2">
      <c r="A225" s="85" t="s">
        <v>588</v>
      </c>
      <c r="B225" s="400" t="s">
        <v>1862</v>
      </c>
      <c r="C225" s="85" t="s">
        <v>759</v>
      </c>
      <c r="D225" s="148" t="s">
        <v>7</v>
      </c>
      <c r="E225" s="87">
        <v>2018</v>
      </c>
      <c r="F225" s="88">
        <v>75</v>
      </c>
      <c r="G225" s="120" t="s">
        <v>760</v>
      </c>
      <c r="H225" s="581" t="s">
        <v>782</v>
      </c>
      <c r="I225" s="601">
        <v>15000</v>
      </c>
      <c r="J225" s="595" t="s">
        <v>9</v>
      </c>
      <c r="K225" s="91">
        <v>1</v>
      </c>
      <c r="L225" s="91">
        <v>2</v>
      </c>
      <c r="M225" s="92">
        <v>29</v>
      </c>
      <c r="N225" s="119" t="str">
        <f>VLOOKUP(M225,'PF Uscite Sp. Corr.'!$C$1:$E$100,2,FALSE)</f>
        <v>Imposte, tasse e proventi assimilati a carico dell'ente n.a.c.</v>
      </c>
      <c r="O225" s="131">
        <v>1410</v>
      </c>
      <c r="P225" s="614" t="str">
        <f>VLOOKUP(O225,'Centri di Costo'!$A$2:$B$179,2,FALSE)</f>
        <v xml:space="preserve">Po di Tramontana - Totale Attività Ordinaria </v>
      </c>
      <c r="Q225" s="622" t="s">
        <v>1844</v>
      </c>
      <c r="R225" s="642" t="s">
        <v>129</v>
      </c>
    </row>
    <row r="226" spans="1:18" ht="28.5" customHeight="1" outlineLevel="2">
      <c r="A226" s="85" t="s">
        <v>588</v>
      </c>
      <c r="B226" s="400" t="s">
        <v>1862</v>
      </c>
      <c r="C226" s="85" t="s">
        <v>759</v>
      </c>
      <c r="D226" s="148" t="s">
        <v>7</v>
      </c>
      <c r="E226" s="87">
        <v>2018</v>
      </c>
      <c r="F226" s="88">
        <v>75</v>
      </c>
      <c r="G226" s="120" t="s">
        <v>760</v>
      </c>
      <c r="H226" s="581" t="s">
        <v>803</v>
      </c>
      <c r="I226" s="601">
        <v>860</v>
      </c>
      <c r="J226" s="595" t="s">
        <v>9</v>
      </c>
      <c r="K226" s="91">
        <v>1</v>
      </c>
      <c r="L226" s="91">
        <v>2</v>
      </c>
      <c r="M226" s="92">
        <v>29</v>
      </c>
      <c r="N226" s="119" t="str">
        <f>VLOOKUP(M226,'PF Uscite Sp. Corr.'!$C$1:$E$100,2,FALSE)</f>
        <v>Imposte, tasse e proventi assimilati a carico dell'ente n.a.c.</v>
      </c>
      <c r="O226" s="131">
        <v>1410</v>
      </c>
      <c r="P226" s="614" t="str">
        <f>VLOOKUP(O226,'Centri di Costo'!$A$2:$B$179,2,FALSE)</f>
        <v xml:space="preserve">Po di Tramontana - Totale Attività Ordinaria </v>
      </c>
      <c r="Q226" s="622" t="s">
        <v>1844</v>
      </c>
      <c r="R226" s="642" t="s">
        <v>69</v>
      </c>
    </row>
    <row r="227" spans="1:18" ht="28.5" customHeight="1" outlineLevel="2">
      <c r="A227" s="85" t="s">
        <v>588</v>
      </c>
      <c r="B227" s="400" t="s">
        <v>1862</v>
      </c>
      <c r="C227" s="85" t="s">
        <v>759</v>
      </c>
      <c r="D227" s="148" t="s">
        <v>7</v>
      </c>
      <c r="E227" s="87">
        <v>2018</v>
      </c>
      <c r="F227" s="88">
        <v>75</v>
      </c>
      <c r="G227" s="120" t="s">
        <v>760</v>
      </c>
      <c r="H227" s="581" t="s">
        <v>358</v>
      </c>
      <c r="I227" s="601">
        <v>250</v>
      </c>
      <c r="J227" s="595" t="s">
        <v>9</v>
      </c>
      <c r="K227" s="91">
        <v>1</v>
      </c>
      <c r="L227" s="91">
        <v>3</v>
      </c>
      <c r="M227" s="92">
        <v>31</v>
      </c>
      <c r="N227" s="119" t="str">
        <f>VLOOKUP(M227,'PF Uscite Sp. Corr.'!$C$1:$E$100,2,FALSE)</f>
        <v>Giornali, riviste e pubblicazioni</v>
      </c>
      <c r="O227" s="131">
        <v>1410</v>
      </c>
      <c r="P227" s="614" t="str">
        <f>VLOOKUP(O227,'Centri di Costo'!$A$2:$B$179,2,FALSE)</f>
        <v xml:space="preserve">Po di Tramontana - Totale Attività Ordinaria </v>
      </c>
      <c r="Q227" s="623" t="s">
        <v>1997</v>
      </c>
      <c r="R227" s="642" t="s">
        <v>18</v>
      </c>
    </row>
    <row r="228" spans="1:18" ht="28.5" customHeight="1" outlineLevel="2">
      <c r="A228" s="85" t="s">
        <v>588</v>
      </c>
      <c r="B228" s="400" t="s">
        <v>1862</v>
      </c>
      <c r="C228" s="85" t="s">
        <v>759</v>
      </c>
      <c r="D228" s="148" t="s">
        <v>7</v>
      </c>
      <c r="E228" s="87">
        <v>2018</v>
      </c>
      <c r="F228" s="88">
        <v>75</v>
      </c>
      <c r="G228" s="120" t="s">
        <v>760</v>
      </c>
      <c r="H228" s="581" t="s">
        <v>357</v>
      </c>
      <c r="I228" s="601">
        <v>3000</v>
      </c>
      <c r="J228" s="595" t="s">
        <v>9</v>
      </c>
      <c r="K228" s="91">
        <v>1</v>
      </c>
      <c r="L228" s="91">
        <v>3</v>
      </c>
      <c r="M228" s="92">
        <v>32</v>
      </c>
      <c r="N228" s="119" t="str">
        <f>VLOOKUP(M228,'PF Uscite Sp. Corr.'!$C$1:$E$100,2,FALSE)</f>
        <v>Altri beni di consumo</v>
      </c>
      <c r="O228" s="131">
        <v>1410</v>
      </c>
      <c r="P228" s="614" t="str">
        <f>VLOOKUP(O228,'Centri di Costo'!$A$2:$B$179,2,FALSE)</f>
        <v xml:space="preserve">Po di Tramontana - Totale Attività Ordinaria </v>
      </c>
      <c r="Q228" s="623" t="s">
        <v>1997</v>
      </c>
      <c r="R228" s="642" t="s">
        <v>469</v>
      </c>
    </row>
    <row r="229" spans="1:18" ht="28.5" customHeight="1" outlineLevel="2">
      <c r="A229" s="85" t="s">
        <v>588</v>
      </c>
      <c r="B229" s="400" t="s">
        <v>1862</v>
      </c>
      <c r="C229" s="85" t="s">
        <v>759</v>
      </c>
      <c r="D229" s="148" t="s">
        <v>7</v>
      </c>
      <c r="E229" s="87">
        <v>2018</v>
      </c>
      <c r="F229" s="88">
        <v>75</v>
      </c>
      <c r="G229" s="120" t="s">
        <v>760</v>
      </c>
      <c r="H229" s="581" t="s">
        <v>773</v>
      </c>
      <c r="I229" s="601">
        <v>5000</v>
      </c>
      <c r="J229" s="595" t="s">
        <v>9</v>
      </c>
      <c r="K229" s="91">
        <v>1</v>
      </c>
      <c r="L229" s="91">
        <v>3</v>
      </c>
      <c r="M229" s="92">
        <v>32</v>
      </c>
      <c r="N229" s="119" t="str">
        <f>VLOOKUP(M229,'PF Uscite Sp. Corr.'!$C$1:$E$100,2,FALSE)</f>
        <v>Altri beni di consumo</v>
      </c>
      <c r="O229" s="131">
        <v>1410</v>
      </c>
      <c r="P229" s="614" t="str">
        <f>VLOOKUP(O229,'Centri di Costo'!$A$2:$B$179,2,FALSE)</f>
        <v xml:space="preserve">Po di Tramontana - Totale Attività Ordinaria </v>
      </c>
      <c r="Q229" s="623" t="s">
        <v>1997</v>
      </c>
      <c r="R229" s="642" t="s">
        <v>545</v>
      </c>
    </row>
    <row r="230" spans="1:18" ht="28.5" customHeight="1" outlineLevel="2">
      <c r="A230" s="85" t="s">
        <v>588</v>
      </c>
      <c r="B230" s="400" t="s">
        <v>1862</v>
      </c>
      <c r="C230" s="85" t="s">
        <v>759</v>
      </c>
      <c r="D230" s="148" t="s">
        <v>7</v>
      </c>
      <c r="E230" s="87">
        <v>2018</v>
      </c>
      <c r="F230" s="88">
        <v>75</v>
      </c>
      <c r="G230" s="120" t="s">
        <v>760</v>
      </c>
      <c r="H230" s="581" t="s">
        <v>774</v>
      </c>
      <c r="I230" s="601">
        <v>1800</v>
      </c>
      <c r="J230" s="595" t="s">
        <v>9</v>
      </c>
      <c r="K230" s="91">
        <v>1</v>
      </c>
      <c r="L230" s="91">
        <v>3</v>
      </c>
      <c r="M230" s="92">
        <v>32</v>
      </c>
      <c r="N230" s="119" t="str">
        <f>VLOOKUP(M230,'PF Uscite Sp. Corr.'!$C$1:$E$100,2,FALSE)</f>
        <v>Altri beni di consumo</v>
      </c>
      <c r="O230" s="131">
        <v>1410</v>
      </c>
      <c r="P230" s="614" t="str">
        <f>VLOOKUP(O230,'Centri di Costo'!$A$2:$B$179,2,FALSE)</f>
        <v xml:space="preserve">Po di Tramontana - Totale Attività Ordinaria </v>
      </c>
      <c r="Q230" s="623" t="s">
        <v>1997</v>
      </c>
      <c r="R230" s="642" t="s">
        <v>324</v>
      </c>
    </row>
    <row r="231" spans="1:18" ht="28.5" customHeight="1" outlineLevel="2">
      <c r="A231" s="85" t="s">
        <v>588</v>
      </c>
      <c r="B231" s="400" t="s">
        <v>1862</v>
      </c>
      <c r="C231" s="85" t="s">
        <v>759</v>
      </c>
      <c r="D231" s="148" t="s">
        <v>7</v>
      </c>
      <c r="E231" s="87">
        <v>2018</v>
      </c>
      <c r="F231" s="88">
        <v>75</v>
      </c>
      <c r="G231" s="120" t="s">
        <v>760</v>
      </c>
      <c r="H231" s="581" t="s">
        <v>775</v>
      </c>
      <c r="I231" s="601">
        <v>2500</v>
      </c>
      <c r="J231" s="595" t="s">
        <v>9</v>
      </c>
      <c r="K231" s="91">
        <v>1</v>
      </c>
      <c r="L231" s="91">
        <v>3</v>
      </c>
      <c r="M231" s="92">
        <v>32</v>
      </c>
      <c r="N231" s="119" t="str">
        <f>VLOOKUP(M231,'PF Uscite Sp. Corr.'!$C$1:$E$100,2,FALSE)</f>
        <v>Altri beni di consumo</v>
      </c>
      <c r="O231" s="131">
        <v>1410</v>
      </c>
      <c r="P231" s="614" t="str">
        <f>VLOOKUP(O231,'Centri di Costo'!$A$2:$B$179,2,FALSE)</f>
        <v xml:space="preserve">Po di Tramontana - Totale Attività Ordinaria </v>
      </c>
      <c r="Q231" s="623" t="s">
        <v>1997</v>
      </c>
      <c r="R231" s="642" t="s">
        <v>190</v>
      </c>
    </row>
    <row r="232" spans="1:18" ht="28.5" customHeight="1" outlineLevel="2">
      <c r="A232" s="85" t="s">
        <v>588</v>
      </c>
      <c r="B232" s="400" t="s">
        <v>1862</v>
      </c>
      <c r="C232" s="85" t="s">
        <v>759</v>
      </c>
      <c r="D232" s="148" t="s">
        <v>7</v>
      </c>
      <c r="E232" s="87">
        <v>2018</v>
      </c>
      <c r="F232" s="88">
        <v>75</v>
      </c>
      <c r="G232" s="120" t="s">
        <v>760</v>
      </c>
      <c r="H232" s="581" t="s">
        <v>776</v>
      </c>
      <c r="I232" s="601">
        <v>1500</v>
      </c>
      <c r="J232" s="595" t="s">
        <v>9</v>
      </c>
      <c r="K232" s="91">
        <v>1</v>
      </c>
      <c r="L232" s="91">
        <v>3</v>
      </c>
      <c r="M232" s="92">
        <v>32</v>
      </c>
      <c r="N232" s="119" t="str">
        <f>VLOOKUP(M232,'PF Uscite Sp. Corr.'!$C$1:$E$100,2,FALSE)</f>
        <v>Altri beni di consumo</v>
      </c>
      <c r="O232" s="131">
        <v>1410</v>
      </c>
      <c r="P232" s="614" t="str">
        <f>VLOOKUP(O232,'Centri di Costo'!$A$2:$B$179,2,FALSE)</f>
        <v xml:space="preserve">Po di Tramontana - Totale Attività Ordinaria </v>
      </c>
      <c r="Q232" s="623" t="s">
        <v>1997</v>
      </c>
      <c r="R232" s="642" t="s">
        <v>436</v>
      </c>
    </row>
    <row r="233" spans="1:18" ht="28.5" customHeight="1" outlineLevel="2">
      <c r="A233" s="85" t="s">
        <v>588</v>
      </c>
      <c r="B233" s="400" t="s">
        <v>1862</v>
      </c>
      <c r="C233" s="85" t="s">
        <v>759</v>
      </c>
      <c r="D233" s="148" t="s">
        <v>7</v>
      </c>
      <c r="E233" s="87">
        <v>2018</v>
      </c>
      <c r="F233" s="88">
        <v>75</v>
      </c>
      <c r="G233" s="120" t="s">
        <v>760</v>
      </c>
      <c r="H233" s="581" t="s">
        <v>777</v>
      </c>
      <c r="I233" s="601">
        <v>1500</v>
      </c>
      <c r="J233" s="595" t="s">
        <v>9</v>
      </c>
      <c r="K233" s="91">
        <v>1</v>
      </c>
      <c r="L233" s="91">
        <v>3</v>
      </c>
      <c r="M233" s="92">
        <v>32</v>
      </c>
      <c r="N233" s="119" t="str">
        <f>VLOOKUP(M233,'PF Uscite Sp. Corr.'!$C$1:$E$100,2,FALSE)</f>
        <v>Altri beni di consumo</v>
      </c>
      <c r="O233" s="131">
        <v>1410</v>
      </c>
      <c r="P233" s="614" t="str">
        <f>VLOOKUP(O233,'Centri di Costo'!$A$2:$B$179,2,FALSE)</f>
        <v xml:space="preserve">Po di Tramontana - Totale Attività Ordinaria </v>
      </c>
      <c r="Q233" s="623" t="s">
        <v>1997</v>
      </c>
      <c r="R233" s="642" t="s">
        <v>610</v>
      </c>
    </row>
    <row r="234" spans="1:18" ht="28.5" customHeight="1" outlineLevel="2">
      <c r="A234" s="85" t="s">
        <v>588</v>
      </c>
      <c r="B234" s="400" t="s">
        <v>1862</v>
      </c>
      <c r="C234" s="85" t="s">
        <v>759</v>
      </c>
      <c r="D234" s="148" t="s">
        <v>7</v>
      </c>
      <c r="E234" s="87">
        <v>2018</v>
      </c>
      <c r="F234" s="88">
        <v>75</v>
      </c>
      <c r="G234" s="120" t="s">
        <v>760</v>
      </c>
      <c r="H234" s="581" t="s">
        <v>778</v>
      </c>
      <c r="I234" s="601">
        <f>16000-5000</f>
        <v>11000</v>
      </c>
      <c r="J234" s="595" t="s">
        <v>9</v>
      </c>
      <c r="K234" s="91">
        <v>1</v>
      </c>
      <c r="L234" s="91">
        <v>3</v>
      </c>
      <c r="M234" s="92">
        <v>32</v>
      </c>
      <c r="N234" s="119" t="str">
        <f>VLOOKUP(M234,'PF Uscite Sp. Corr.'!$C$1:$E$100,2,FALSE)</f>
        <v>Altri beni di consumo</v>
      </c>
      <c r="O234" s="131">
        <v>1410</v>
      </c>
      <c r="P234" s="614" t="str">
        <f>VLOOKUP(O234,'Centri di Costo'!$A$2:$B$179,2,FALSE)</f>
        <v xml:space="preserve">Po di Tramontana - Totale Attività Ordinaria </v>
      </c>
      <c r="Q234" s="623" t="s">
        <v>2014</v>
      </c>
      <c r="R234" s="642" t="s">
        <v>434</v>
      </c>
    </row>
    <row r="235" spans="1:18" ht="28.5" customHeight="1" outlineLevel="2">
      <c r="A235" s="85" t="s">
        <v>588</v>
      </c>
      <c r="B235" s="400" t="s">
        <v>1862</v>
      </c>
      <c r="C235" s="85" t="s">
        <v>759</v>
      </c>
      <c r="D235" s="148" t="s">
        <v>7</v>
      </c>
      <c r="E235" s="87">
        <v>2018</v>
      </c>
      <c r="F235" s="88">
        <v>75</v>
      </c>
      <c r="G235" s="120" t="s">
        <v>760</v>
      </c>
      <c r="H235" s="581" t="s">
        <v>2016</v>
      </c>
      <c r="I235" s="601">
        <v>4000</v>
      </c>
      <c r="J235" s="595" t="s">
        <v>9</v>
      </c>
      <c r="K235" s="91">
        <v>1</v>
      </c>
      <c r="L235" s="91">
        <v>3</v>
      </c>
      <c r="M235" s="92">
        <v>32</v>
      </c>
      <c r="N235" s="119" t="str">
        <f>VLOOKUP(M235,'PF Uscite Sp. Corr.'!$C$1:$E$100,2,FALSE)</f>
        <v>Altri beni di consumo</v>
      </c>
      <c r="O235" s="131">
        <v>1410</v>
      </c>
      <c r="P235" s="614" t="str">
        <f>VLOOKUP(O235,'Centri di Costo'!$A$2:$B$179,2,FALSE)</f>
        <v xml:space="preserve">Po di Tramontana - Totale Attività Ordinaria </v>
      </c>
      <c r="Q235" s="623" t="s">
        <v>1997</v>
      </c>
      <c r="R235" s="642" t="s">
        <v>426</v>
      </c>
    </row>
    <row r="236" spans="1:18" ht="28.5" customHeight="1" outlineLevel="2">
      <c r="A236" s="85" t="s">
        <v>588</v>
      </c>
      <c r="B236" s="400" t="s">
        <v>1862</v>
      </c>
      <c r="C236" s="85" t="s">
        <v>759</v>
      </c>
      <c r="D236" s="148" t="s">
        <v>7</v>
      </c>
      <c r="E236" s="87">
        <v>2018</v>
      </c>
      <c r="F236" s="88">
        <v>75</v>
      </c>
      <c r="G236" s="120" t="s">
        <v>760</v>
      </c>
      <c r="H236" s="581" t="s">
        <v>780</v>
      </c>
      <c r="I236" s="601">
        <v>1500</v>
      </c>
      <c r="J236" s="595" t="s">
        <v>9</v>
      </c>
      <c r="K236" s="91">
        <v>1</v>
      </c>
      <c r="L236" s="91">
        <v>3</v>
      </c>
      <c r="M236" s="92">
        <v>32</v>
      </c>
      <c r="N236" s="119" t="str">
        <f>VLOOKUP(M236,'PF Uscite Sp. Corr.'!$C$1:$E$100,2,FALSE)</f>
        <v>Altri beni di consumo</v>
      </c>
      <c r="O236" s="131">
        <v>1410</v>
      </c>
      <c r="P236" s="614" t="str">
        <f>VLOOKUP(O236,'Centri di Costo'!$A$2:$B$179,2,FALSE)</f>
        <v xml:space="preserve">Po di Tramontana - Totale Attività Ordinaria </v>
      </c>
      <c r="Q236" s="623" t="s">
        <v>2014</v>
      </c>
      <c r="R236" s="642" t="s">
        <v>113</v>
      </c>
    </row>
    <row r="237" spans="1:18" ht="28.5" customHeight="1" outlineLevel="2">
      <c r="A237" s="85" t="s">
        <v>588</v>
      </c>
      <c r="B237" s="400" t="s">
        <v>1862</v>
      </c>
      <c r="C237" s="85" t="s">
        <v>759</v>
      </c>
      <c r="D237" s="148" t="s">
        <v>7</v>
      </c>
      <c r="E237" s="87">
        <v>2018</v>
      </c>
      <c r="F237" s="88">
        <v>75</v>
      </c>
      <c r="G237" s="120" t="s">
        <v>760</v>
      </c>
      <c r="H237" s="581" t="s">
        <v>781</v>
      </c>
      <c r="I237" s="601">
        <v>7000</v>
      </c>
      <c r="J237" s="595" t="s">
        <v>9</v>
      </c>
      <c r="K237" s="91">
        <v>1</v>
      </c>
      <c r="L237" s="91">
        <v>3</v>
      </c>
      <c r="M237" s="92">
        <v>32</v>
      </c>
      <c r="N237" s="119" t="str">
        <f>VLOOKUP(M237,'PF Uscite Sp. Corr.'!$C$1:$E$100,2,FALSE)</f>
        <v>Altri beni di consumo</v>
      </c>
      <c r="O237" s="131">
        <v>1410</v>
      </c>
      <c r="P237" s="614" t="str">
        <f>VLOOKUP(O237,'Centri di Costo'!$A$2:$B$179,2,FALSE)</f>
        <v xml:space="preserve">Po di Tramontana - Totale Attività Ordinaria </v>
      </c>
      <c r="Q237" s="623" t="s">
        <v>1997</v>
      </c>
      <c r="R237" s="642" t="s">
        <v>481</v>
      </c>
    </row>
    <row r="238" spans="1:18" ht="28.5" customHeight="1" outlineLevel="2">
      <c r="A238" s="85" t="s">
        <v>588</v>
      </c>
      <c r="B238" s="400" t="s">
        <v>1862</v>
      </c>
      <c r="C238" s="85" t="s">
        <v>759</v>
      </c>
      <c r="D238" s="148" t="s">
        <v>7</v>
      </c>
      <c r="E238" s="87">
        <v>2018</v>
      </c>
      <c r="F238" s="88">
        <v>75</v>
      </c>
      <c r="G238" s="120" t="s">
        <v>760</v>
      </c>
      <c r="H238" s="581" t="s">
        <v>785</v>
      </c>
      <c r="I238" s="601">
        <v>500</v>
      </c>
      <c r="J238" s="595" t="s">
        <v>9</v>
      </c>
      <c r="K238" s="91">
        <v>1</v>
      </c>
      <c r="L238" s="91">
        <v>3</v>
      </c>
      <c r="M238" s="92">
        <v>32</v>
      </c>
      <c r="N238" s="119" t="str">
        <f>VLOOKUP(M238,'PF Uscite Sp. Corr.'!$C$1:$E$100,2,FALSE)</f>
        <v>Altri beni di consumo</v>
      </c>
      <c r="O238" s="131">
        <v>1410</v>
      </c>
      <c r="P238" s="614" t="str">
        <f>VLOOKUP(O238,'Centri di Costo'!$A$2:$B$179,2,FALSE)</f>
        <v xml:space="preserve">Po di Tramontana - Totale Attività Ordinaria </v>
      </c>
      <c r="Q238" s="623" t="s">
        <v>1997</v>
      </c>
      <c r="R238" s="642" t="s">
        <v>683</v>
      </c>
    </row>
    <row r="239" spans="1:18" ht="28.5" customHeight="1" outlineLevel="2">
      <c r="A239" s="85" t="s">
        <v>588</v>
      </c>
      <c r="B239" s="400" t="s">
        <v>1862</v>
      </c>
      <c r="C239" s="85" t="s">
        <v>759</v>
      </c>
      <c r="D239" s="148" t="s">
        <v>7</v>
      </c>
      <c r="E239" s="87">
        <v>2018</v>
      </c>
      <c r="F239" s="88">
        <v>75</v>
      </c>
      <c r="G239" s="120" t="s">
        <v>760</v>
      </c>
      <c r="H239" s="581" t="s">
        <v>786</v>
      </c>
      <c r="I239" s="601">
        <v>3500</v>
      </c>
      <c r="J239" s="595" t="s">
        <v>9</v>
      </c>
      <c r="K239" s="91">
        <v>1</v>
      </c>
      <c r="L239" s="91">
        <v>3</v>
      </c>
      <c r="M239" s="92">
        <v>32</v>
      </c>
      <c r="N239" s="119" t="str">
        <f>VLOOKUP(M239,'PF Uscite Sp. Corr.'!$C$1:$E$100,2,FALSE)</f>
        <v>Altri beni di consumo</v>
      </c>
      <c r="O239" s="131">
        <v>1410</v>
      </c>
      <c r="P239" s="614" t="str">
        <f>VLOOKUP(O239,'Centri di Costo'!$A$2:$B$179,2,FALSE)</f>
        <v xml:space="preserve">Po di Tramontana - Totale Attività Ordinaria </v>
      </c>
      <c r="Q239" s="623" t="s">
        <v>2014</v>
      </c>
      <c r="R239" s="642" t="s">
        <v>107</v>
      </c>
    </row>
    <row r="240" spans="1:18" ht="28.5" customHeight="1" outlineLevel="2">
      <c r="A240" s="85" t="s">
        <v>588</v>
      </c>
      <c r="B240" s="400" t="s">
        <v>1862</v>
      </c>
      <c r="C240" s="85" t="s">
        <v>759</v>
      </c>
      <c r="D240" s="148" t="s">
        <v>7</v>
      </c>
      <c r="E240" s="87">
        <v>2018</v>
      </c>
      <c r="F240" s="88">
        <v>75</v>
      </c>
      <c r="G240" s="120" t="s">
        <v>760</v>
      </c>
      <c r="H240" s="581" t="s">
        <v>794</v>
      </c>
      <c r="I240" s="601">
        <v>5000</v>
      </c>
      <c r="J240" s="595" t="s">
        <v>9</v>
      </c>
      <c r="K240" s="91">
        <v>1</v>
      </c>
      <c r="L240" s="91">
        <v>3</v>
      </c>
      <c r="M240" s="92">
        <v>32</v>
      </c>
      <c r="N240" s="119" t="str">
        <f>VLOOKUP(M240,'PF Uscite Sp. Corr.'!$C$1:$E$100,2,FALSE)</f>
        <v>Altri beni di consumo</v>
      </c>
      <c r="O240" s="131">
        <v>1410</v>
      </c>
      <c r="P240" s="614" t="str">
        <f>VLOOKUP(O240,'Centri di Costo'!$A$2:$B$179,2,FALSE)</f>
        <v xml:space="preserve">Po di Tramontana - Totale Attività Ordinaria </v>
      </c>
      <c r="Q240" s="623" t="s">
        <v>1997</v>
      </c>
      <c r="R240" s="642" t="s">
        <v>438</v>
      </c>
    </row>
    <row r="241" spans="1:18" ht="28.5" customHeight="1" outlineLevel="2">
      <c r="A241" s="85" t="s">
        <v>588</v>
      </c>
      <c r="B241" s="400" t="s">
        <v>1862</v>
      </c>
      <c r="C241" s="85" t="s">
        <v>759</v>
      </c>
      <c r="D241" s="148" t="s">
        <v>7</v>
      </c>
      <c r="E241" s="87">
        <v>2018</v>
      </c>
      <c r="F241" s="88">
        <v>75</v>
      </c>
      <c r="G241" s="120" t="s">
        <v>760</v>
      </c>
      <c r="H241" s="581" t="s">
        <v>795</v>
      </c>
      <c r="I241" s="601">
        <v>2000</v>
      </c>
      <c r="J241" s="595" t="s">
        <v>9</v>
      </c>
      <c r="K241" s="91">
        <v>1</v>
      </c>
      <c r="L241" s="91">
        <v>3</v>
      </c>
      <c r="M241" s="92">
        <v>32</v>
      </c>
      <c r="N241" s="119" t="str">
        <f>VLOOKUP(M241,'PF Uscite Sp. Corr.'!$C$1:$E$100,2,FALSE)</f>
        <v>Altri beni di consumo</v>
      </c>
      <c r="O241" s="131">
        <v>1410</v>
      </c>
      <c r="P241" s="614" t="str">
        <f>VLOOKUP(O241,'Centri di Costo'!$A$2:$B$179,2,FALSE)</f>
        <v xml:space="preserve">Po di Tramontana - Totale Attività Ordinaria </v>
      </c>
      <c r="Q241" s="623" t="s">
        <v>1997</v>
      </c>
      <c r="R241" s="642" t="s">
        <v>472</v>
      </c>
    </row>
    <row r="242" spans="1:18" ht="28.5" customHeight="1" outlineLevel="2">
      <c r="A242" s="85" t="s">
        <v>588</v>
      </c>
      <c r="B242" s="400" t="s">
        <v>1862</v>
      </c>
      <c r="C242" s="85" t="s">
        <v>759</v>
      </c>
      <c r="D242" s="148" t="s">
        <v>7</v>
      </c>
      <c r="E242" s="87">
        <v>2018</v>
      </c>
      <c r="F242" s="88">
        <v>75</v>
      </c>
      <c r="G242" s="120" t="s">
        <v>760</v>
      </c>
      <c r="H242" s="581" t="s">
        <v>798</v>
      </c>
      <c r="I242" s="601">
        <f>11000-5000+1000</f>
        <v>7000</v>
      </c>
      <c r="J242" s="595" t="s">
        <v>9</v>
      </c>
      <c r="K242" s="91">
        <v>1</v>
      </c>
      <c r="L242" s="91">
        <v>3</v>
      </c>
      <c r="M242" s="92">
        <v>32</v>
      </c>
      <c r="N242" s="119" t="str">
        <f>VLOOKUP(M242,'PF Uscite Sp. Corr.'!$C$1:$E$100,2,FALSE)</f>
        <v>Altri beni di consumo</v>
      </c>
      <c r="O242" s="131">
        <v>1410</v>
      </c>
      <c r="P242" s="614" t="str">
        <f>VLOOKUP(O242,'Centri di Costo'!$A$2:$B$179,2,FALSE)</f>
        <v xml:space="preserve">Po di Tramontana - Totale Attività Ordinaria </v>
      </c>
      <c r="Q242" s="623" t="s">
        <v>1997</v>
      </c>
      <c r="R242" s="642" t="s">
        <v>192</v>
      </c>
    </row>
    <row r="243" spans="1:18" ht="28.5" customHeight="1" outlineLevel="2">
      <c r="A243" s="85" t="s">
        <v>588</v>
      </c>
      <c r="B243" s="400" t="s">
        <v>1862</v>
      </c>
      <c r="C243" s="85" t="s">
        <v>759</v>
      </c>
      <c r="D243" s="148" t="s">
        <v>7</v>
      </c>
      <c r="E243" s="87">
        <v>2018</v>
      </c>
      <c r="F243" s="88">
        <v>75</v>
      </c>
      <c r="G243" s="120" t="s">
        <v>760</v>
      </c>
      <c r="H243" s="581" t="s">
        <v>799</v>
      </c>
      <c r="I243" s="601">
        <v>4000</v>
      </c>
      <c r="J243" s="595" t="s">
        <v>9</v>
      </c>
      <c r="K243" s="91">
        <v>1</v>
      </c>
      <c r="L243" s="91">
        <v>3</v>
      </c>
      <c r="M243" s="92">
        <v>32</v>
      </c>
      <c r="N243" s="119" t="str">
        <f>VLOOKUP(M243,'PF Uscite Sp. Corr.'!$C$1:$E$100,2,FALSE)</f>
        <v>Altri beni di consumo</v>
      </c>
      <c r="O243" s="131">
        <v>1410</v>
      </c>
      <c r="P243" s="614" t="str">
        <f>VLOOKUP(O243,'Centri di Costo'!$A$2:$B$179,2,FALSE)</f>
        <v xml:space="preserve">Po di Tramontana - Totale Attività Ordinaria </v>
      </c>
      <c r="Q243" s="623" t="s">
        <v>1997</v>
      </c>
      <c r="R243" s="642" t="s">
        <v>424</v>
      </c>
    </row>
    <row r="244" spans="1:18" ht="28.5" customHeight="1" outlineLevel="2">
      <c r="A244" s="85" t="s">
        <v>588</v>
      </c>
      <c r="B244" s="400" t="s">
        <v>1862</v>
      </c>
      <c r="C244" s="85" t="s">
        <v>759</v>
      </c>
      <c r="D244" s="148" t="s">
        <v>7</v>
      </c>
      <c r="E244" s="87">
        <v>2018</v>
      </c>
      <c r="F244" s="88">
        <v>75</v>
      </c>
      <c r="G244" s="120" t="s">
        <v>760</v>
      </c>
      <c r="H244" s="581" t="s">
        <v>800</v>
      </c>
      <c r="I244" s="601">
        <v>3000</v>
      </c>
      <c r="J244" s="595" t="s">
        <v>9</v>
      </c>
      <c r="K244" s="91">
        <v>1</v>
      </c>
      <c r="L244" s="91">
        <v>3</v>
      </c>
      <c r="M244" s="92">
        <v>32</v>
      </c>
      <c r="N244" s="119" t="str">
        <f>VLOOKUP(M244,'PF Uscite Sp. Corr.'!$C$1:$E$100,2,FALSE)</f>
        <v>Altri beni di consumo</v>
      </c>
      <c r="O244" s="131">
        <v>1410</v>
      </c>
      <c r="P244" s="614" t="str">
        <f>VLOOKUP(O244,'Centri di Costo'!$A$2:$B$179,2,FALSE)</f>
        <v xml:space="preserve">Po di Tramontana - Totale Attività Ordinaria </v>
      </c>
      <c r="Q244" s="623" t="s">
        <v>1997</v>
      </c>
      <c r="R244" s="642" t="s">
        <v>483</v>
      </c>
    </row>
    <row r="245" spans="1:18" ht="28.5" customHeight="1" outlineLevel="2">
      <c r="A245" s="85" t="s">
        <v>588</v>
      </c>
      <c r="B245" s="400" t="s">
        <v>1862</v>
      </c>
      <c r="C245" s="85" t="s">
        <v>759</v>
      </c>
      <c r="D245" s="148" t="s">
        <v>7</v>
      </c>
      <c r="E245" s="87">
        <v>2018</v>
      </c>
      <c r="F245" s="88">
        <v>78</v>
      </c>
      <c r="G245" s="120" t="s">
        <v>804</v>
      </c>
      <c r="H245" s="581" t="s">
        <v>805</v>
      </c>
      <c r="I245" s="601">
        <f>25000-10000</f>
        <v>15000</v>
      </c>
      <c r="J245" s="595" t="s">
        <v>9</v>
      </c>
      <c r="K245" s="91">
        <v>1</v>
      </c>
      <c r="L245" s="91">
        <v>3</v>
      </c>
      <c r="M245" s="92">
        <v>32</v>
      </c>
      <c r="N245" s="119" t="str">
        <f>VLOOKUP(M245,'PF Uscite Sp. Corr.'!$C$1:$E$100,2,FALSE)</f>
        <v>Altri beni di consumo</v>
      </c>
      <c r="O245" s="131">
        <v>1410</v>
      </c>
      <c r="P245" s="614" t="str">
        <f>VLOOKUP(O245,'Centri di Costo'!$A$2:$B$179,2,FALSE)</f>
        <v xml:space="preserve">Po di Tramontana - Totale Attività Ordinaria </v>
      </c>
      <c r="Q245" s="623" t="s">
        <v>1997</v>
      </c>
      <c r="R245" s="642" t="s">
        <v>434</v>
      </c>
    </row>
    <row r="246" spans="1:18" ht="28.5" customHeight="1" outlineLevel="2">
      <c r="A246" s="85" t="s">
        <v>588</v>
      </c>
      <c r="B246" s="400" t="s">
        <v>1862</v>
      </c>
      <c r="C246" s="85" t="s">
        <v>759</v>
      </c>
      <c r="D246" s="148" t="s">
        <v>7</v>
      </c>
      <c r="E246" s="87">
        <v>2018</v>
      </c>
      <c r="F246" s="88">
        <v>78</v>
      </c>
      <c r="G246" s="120" t="s">
        <v>804</v>
      </c>
      <c r="H246" s="581" t="s">
        <v>806</v>
      </c>
      <c r="I246" s="601">
        <v>500</v>
      </c>
      <c r="J246" s="595" t="s">
        <v>9</v>
      </c>
      <c r="K246" s="91">
        <v>1</v>
      </c>
      <c r="L246" s="91">
        <v>3</v>
      </c>
      <c r="M246" s="92">
        <v>32</v>
      </c>
      <c r="N246" s="119" t="str">
        <f>VLOOKUP(M246,'PF Uscite Sp. Corr.'!$C$1:$E$100,2,FALSE)</f>
        <v>Altri beni di consumo</v>
      </c>
      <c r="O246" s="131">
        <v>1410</v>
      </c>
      <c r="P246" s="614" t="str">
        <f>VLOOKUP(O246,'Centri di Costo'!$A$2:$B$179,2,FALSE)</f>
        <v xml:space="preserve">Po di Tramontana - Totale Attività Ordinaria </v>
      </c>
      <c r="Q246" s="623" t="s">
        <v>1997</v>
      </c>
      <c r="R246" s="642" t="s">
        <v>807</v>
      </c>
    </row>
    <row r="247" spans="1:18" ht="28.5" customHeight="1" outlineLevel="2">
      <c r="A247" s="85" t="s">
        <v>588</v>
      </c>
      <c r="B247" s="400" t="s">
        <v>1862</v>
      </c>
      <c r="C247" s="85" t="s">
        <v>759</v>
      </c>
      <c r="D247" s="148" t="s">
        <v>7</v>
      </c>
      <c r="E247" s="87">
        <v>2018</v>
      </c>
      <c r="F247" s="88">
        <v>78</v>
      </c>
      <c r="G247" s="120" t="s">
        <v>804</v>
      </c>
      <c r="H247" s="581" t="s">
        <v>808</v>
      </c>
      <c r="I247" s="601">
        <v>200</v>
      </c>
      <c r="J247" s="595" t="s">
        <v>9</v>
      </c>
      <c r="K247" s="91">
        <v>1</v>
      </c>
      <c r="L247" s="91">
        <v>3</v>
      </c>
      <c r="M247" s="92">
        <v>32</v>
      </c>
      <c r="N247" s="119" t="str">
        <f>VLOOKUP(M247,'PF Uscite Sp. Corr.'!$C$1:$E$100,2,FALSE)</f>
        <v>Altri beni di consumo</v>
      </c>
      <c r="O247" s="131">
        <v>1410</v>
      </c>
      <c r="P247" s="614" t="str">
        <f>VLOOKUP(O247,'Centri di Costo'!$A$2:$B$179,2,FALSE)</f>
        <v xml:space="preserve">Po di Tramontana - Totale Attività Ordinaria </v>
      </c>
      <c r="Q247" s="623" t="s">
        <v>1997</v>
      </c>
      <c r="R247" s="642" t="s">
        <v>324</v>
      </c>
    </row>
    <row r="248" spans="1:18" ht="28.5" customHeight="1" outlineLevel="2">
      <c r="A248" s="85" t="s">
        <v>588</v>
      </c>
      <c r="B248" s="400" t="s">
        <v>1862</v>
      </c>
      <c r="C248" s="85" t="s">
        <v>759</v>
      </c>
      <c r="D248" s="148" t="s">
        <v>7</v>
      </c>
      <c r="E248" s="87">
        <v>2018</v>
      </c>
      <c r="F248" s="88">
        <v>78</v>
      </c>
      <c r="G248" s="120" t="s">
        <v>804</v>
      </c>
      <c r="H248" s="581" t="s">
        <v>809</v>
      </c>
      <c r="I248" s="601">
        <v>4000</v>
      </c>
      <c r="J248" s="595" t="s">
        <v>9</v>
      </c>
      <c r="K248" s="91">
        <v>1</v>
      </c>
      <c r="L248" s="91">
        <v>3</v>
      </c>
      <c r="M248" s="92">
        <v>32</v>
      </c>
      <c r="N248" s="119" t="str">
        <f>VLOOKUP(M248,'PF Uscite Sp. Corr.'!$C$1:$E$100,2,FALSE)</f>
        <v>Altri beni di consumo</v>
      </c>
      <c r="O248" s="131">
        <v>1410</v>
      </c>
      <c r="P248" s="614" t="str">
        <f>VLOOKUP(O248,'Centri di Costo'!$A$2:$B$179,2,FALSE)</f>
        <v xml:space="preserve">Po di Tramontana - Totale Attività Ordinaria </v>
      </c>
      <c r="Q248" s="623" t="s">
        <v>1997</v>
      </c>
      <c r="R248" s="642" t="s">
        <v>810</v>
      </c>
    </row>
    <row r="249" spans="1:18" ht="28.5" customHeight="1" outlineLevel="2">
      <c r="A249" s="85" t="s">
        <v>588</v>
      </c>
      <c r="B249" s="400" t="s">
        <v>1862</v>
      </c>
      <c r="C249" s="85" t="s">
        <v>759</v>
      </c>
      <c r="D249" s="148" t="s">
        <v>7</v>
      </c>
      <c r="E249" s="87">
        <v>2018</v>
      </c>
      <c r="F249" s="88">
        <v>78</v>
      </c>
      <c r="G249" s="120" t="s">
        <v>804</v>
      </c>
      <c r="H249" s="581" t="s">
        <v>811</v>
      </c>
      <c r="I249" s="601">
        <v>6000</v>
      </c>
      <c r="J249" s="595" t="s">
        <v>9</v>
      </c>
      <c r="K249" s="91">
        <v>1</v>
      </c>
      <c r="L249" s="91">
        <v>3</v>
      </c>
      <c r="M249" s="92">
        <v>32</v>
      </c>
      <c r="N249" s="119" t="str">
        <f>VLOOKUP(M249,'PF Uscite Sp. Corr.'!$C$1:$E$100,2,FALSE)</f>
        <v>Altri beni di consumo</v>
      </c>
      <c r="O249" s="131">
        <v>1410</v>
      </c>
      <c r="P249" s="614" t="str">
        <f>VLOOKUP(O249,'Centri di Costo'!$A$2:$B$179,2,FALSE)</f>
        <v xml:space="preserve">Po di Tramontana - Totale Attività Ordinaria </v>
      </c>
      <c r="Q249" s="623" t="s">
        <v>1997</v>
      </c>
      <c r="R249" s="642" t="s">
        <v>812</v>
      </c>
    </row>
    <row r="250" spans="1:18" ht="28.5" customHeight="1" outlineLevel="2">
      <c r="A250" s="85" t="s">
        <v>588</v>
      </c>
      <c r="B250" s="400" t="s">
        <v>1862</v>
      </c>
      <c r="C250" s="85" t="s">
        <v>759</v>
      </c>
      <c r="D250" s="148" t="s">
        <v>7</v>
      </c>
      <c r="E250" s="87">
        <v>2018</v>
      </c>
      <c r="F250" s="88">
        <v>78</v>
      </c>
      <c r="G250" s="120" t="s">
        <v>804</v>
      </c>
      <c r="H250" s="581" t="s">
        <v>813</v>
      </c>
      <c r="I250" s="601">
        <v>2000</v>
      </c>
      <c r="J250" s="595" t="s">
        <v>9</v>
      </c>
      <c r="K250" s="91">
        <v>1</v>
      </c>
      <c r="L250" s="91">
        <v>3</v>
      </c>
      <c r="M250" s="92">
        <v>32</v>
      </c>
      <c r="N250" s="119" t="str">
        <f>VLOOKUP(M250,'PF Uscite Sp. Corr.'!$C$1:$E$100,2,FALSE)</f>
        <v>Altri beni di consumo</v>
      </c>
      <c r="O250" s="131">
        <v>1410</v>
      </c>
      <c r="P250" s="614" t="str">
        <f>VLOOKUP(O250,'Centri di Costo'!$A$2:$B$179,2,FALSE)</f>
        <v xml:space="preserve">Po di Tramontana - Totale Attività Ordinaria </v>
      </c>
      <c r="Q250" s="623" t="s">
        <v>1997</v>
      </c>
      <c r="R250" s="642" t="s">
        <v>743</v>
      </c>
    </row>
    <row r="251" spans="1:18" ht="28.5" customHeight="1" outlineLevel="2">
      <c r="A251" s="85" t="s">
        <v>588</v>
      </c>
      <c r="B251" s="400" t="s">
        <v>1862</v>
      </c>
      <c r="C251" s="85" t="s">
        <v>759</v>
      </c>
      <c r="D251" s="148" t="s">
        <v>7</v>
      </c>
      <c r="E251" s="87">
        <v>2018</v>
      </c>
      <c r="F251" s="88">
        <v>79</v>
      </c>
      <c r="G251" s="120" t="s">
        <v>818</v>
      </c>
      <c r="H251" s="581" t="s">
        <v>813</v>
      </c>
      <c r="I251" s="601">
        <v>500</v>
      </c>
      <c r="J251" s="595" t="s">
        <v>9</v>
      </c>
      <c r="K251" s="91">
        <v>1</v>
      </c>
      <c r="L251" s="91">
        <v>3</v>
      </c>
      <c r="M251" s="92">
        <v>32</v>
      </c>
      <c r="N251" s="119" t="str">
        <f>VLOOKUP(M251,'PF Uscite Sp. Corr.'!$C$1:$E$100,2,FALSE)</f>
        <v>Altri beni di consumo</v>
      </c>
      <c r="O251" s="131">
        <v>1410</v>
      </c>
      <c r="P251" s="614" t="str">
        <f>VLOOKUP(O251,'Centri di Costo'!$A$2:$B$179,2,FALSE)</f>
        <v xml:space="preserve">Po di Tramontana - Totale Attività Ordinaria </v>
      </c>
      <c r="Q251" s="623" t="s">
        <v>1997</v>
      </c>
      <c r="R251" s="642" t="s">
        <v>743</v>
      </c>
    </row>
    <row r="252" spans="1:18" ht="28.5" customHeight="1" outlineLevel="2">
      <c r="A252" s="85" t="s">
        <v>588</v>
      </c>
      <c r="B252" s="400" t="s">
        <v>1862</v>
      </c>
      <c r="C252" s="85" t="s">
        <v>759</v>
      </c>
      <c r="D252" s="148" t="s">
        <v>7</v>
      </c>
      <c r="E252" s="87">
        <v>2018</v>
      </c>
      <c r="F252" s="88">
        <v>79</v>
      </c>
      <c r="G252" s="120" t="s">
        <v>818</v>
      </c>
      <c r="H252" s="581" t="s">
        <v>819</v>
      </c>
      <c r="I252" s="601">
        <v>1000</v>
      </c>
      <c r="J252" s="595" t="s">
        <v>9</v>
      </c>
      <c r="K252" s="91">
        <v>1</v>
      </c>
      <c r="L252" s="91">
        <v>3</v>
      </c>
      <c r="M252" s="92">
        <v>32</v>
      </c>
      <c r="N252" s="119" t="str">
        <f>VLOOKUP(M252,'PF Uscite Sp. Corr.'!$C$1:$E$100,2,FALSE)</f>
        <v>Altri beni di consumo</v>
      </c>
      <c r="O252" s="131">
        <v>1410</v>
      </c>
      <c r="P252" s="614" t="str">
        <f>VLOOKUP(O252,'Centri di Costo'!$A$2:$B$179,2,FALSE)</f>
        <v xml:space="preserve">Po di Tramontana - Totale Attività Ordinaria </v>
      </c>
      <c r="Q252" s="623" t="s">
        <v>1997</v>
      </c>
      <c r="R252" s="642" t="s">
        <v>820</v>
      </c>
    </row>
    <row r="253" spans="1:18" ht="28.5" customHeight="1" outlineLevel="2">
      <c r="A253" s="85" t="s">
        <v>588</v>
      </c>
      <c r="B253" s="400" t="s">
        <v>1862</v>
      </c>
      <c r="C253" s="85" t="s">
        <v>759</v>
      </c>
      <c r="D253" s="148" t="s">
        <v>7</v>
      </c>
      <c r="E253" s="87">
        <v>2018</v>
      </c>
      <c r="F253" s="88">
        <v>79</v>
      </c>
      <c r="G253" s="120" t="s">
        <v>818</v>
      </c>
      <c r="H253" s="581" t="s">
        <v>821</v>
      </c>
      <c r="I253" s="601">
        <v>500</v>
      </c>
      <c r="J253" s="595" t="s">
        <v>9</v>
      </c>
      <c r="K253" s="91">
        <v>1</v>
      </c>
      <c r="L253" s="91">
        <v>3</v>
      </c>
      <c r="M253" s="92">
        <v>32</v>
      </c>
      <c r="N253" s="119" t="str">
        <f>VLOOKUP(M253,'PF Uscite Sp. Corr.'!$C$1:$E$100,2,FALSE)</f>
        <v>Altri beni di consumo</v>
      </c>
      <c r="O253" s="131">
        <v>1410</v>
      </c>
      <c r="P253" s="614" t="str">
        <f>VLOOKUP(O253,'Centri di Costo'!$A$2:$B$179,2,FALSE)</f>
        <v xml:space="preserve">Po di Tramontana - Totale Attività Ordinaria </v>
      </c>
      <c r="Q253" s="623" t="s">
        <v>1997</v>
      </c>
      <c r="R253" s="642" t="s">
        <v>810</v>
      </c>
    </row>
    <row r="254" spans="1:18" ht="28.5" customHeight="1" outlineLevel="2">
      <c r="A254" s="85" t="s">
        <v>588</v>
      </c>
      <c r="B254" s="400" t="s">
        <v>1862</v>
      </c>
      <c r="C254" s="85" t="s">
        <v>759</v>
      </c>
      <c r="D254" s="148" t="s">
        <v>7</v>
      </c>
      <c r="E254" s="87">
        <v>2018</v>
      </c>
      <c r="F254" s="88">
        <v>79</v>
      </c>
      <c r="G254" s="120" t="s">
        <v>818</v>
      </c>
      <c r="H254" s="581" t="s">
        <v>811</v>
      </c>
      <c r="I254" s="601">
        <v>500</v>
      </c>
      <c r="J254" s="595" t="s">
        <v>9</v>
      </c>
      <c r="K254" s="91">
        <v>1</v>
      </c>
      <c r="L254" s="91">
        <v>3</v>
      </c>
      <c r="M254" s="92">
        <v>32</v>
      </c>
      <c r="N254" s="119" t="str">
        <f>VLOOKUP(M254,'PF Uscite Sp. Corr.'!$C$1:$E$100,2,FALSE)</f>
        <v>Altri beni di consumo</v>
      </c>
      <c r="O254" s="131">
        <v>1410</v>
      </c>
      <c r="P254" s="614" t="str">
        <f>VLOOKUP(O254,'Centri di Costo'!$A$2:$B$179,2,FALSE)</f>
        <v xml:space="preserve">Po di Tramontana - Totale Attività Ordinaria </v>
      </c>
      <c r="Q254" s="623" t="s">
        <v>1997</v>
      </c>
      <c r="R254" s="642" t="s">
        <v>812</v>
      </c>
    </row>
    <row r="255" spans="1:18" ht="28.5" customHeight="1" outlineLevel="2">
      <c r="A255" s="85" t="s">
        <v>588</v>
      </c>
      <c r="B255" s="400" t="s">
        <v>1862</v>
      </c>
      <c r="C255" s="85" t="s">
        <v>759</v>
      </c>
      <c r="D255" s="148" t="s">
        <v>7</v>
      </c>
      <c r="E255" s="87">
        <v>2018</v>
      </c>
      <c r="F255" s="88">
        <v>79</v>
      </c>
      <c r="G255" s="120" t="s">
        <v>818</v>
      </c>
      <c r="H255" s="581" t="s">
        <v>805</v>
      </c>
      <c r="I255" s="601">
        <v>5000</v>
      </c>
      <c r="J255" s="595" t="s">
        <v>9</v>
      </c>
      <c r="K255" s="91">
        <v>1</v>
      </c>
      <c r="L255" s="91">
        <v>3</v>
      </c>
      <c r="M255" s="92">
        <v>32</v>
      </c>
      <c r="N255" s="119" t="str">
        <f>VLOOKUP(M255,'PF Uscite Sp. Corr.'!$C$1:$E$100,2,FALSE)</f>
        <v>Altri beni di consumo</v>
      </c>
      <c r="O255" s="131">
        <v>1410</v>
      </c>
      <c r="P255" s="614" t="str">
        <f>VLOOKUP(O255,'Centri di Costo'!$A$2:$B$179,2,FALSE)</f>
        <v xml:space="preserve">Po di Tramontana - Totale Attività Ordinaria </v>
      </c>
      <c r="Q255" s="623" t="s">
        <v>1997</v>
      </c>
      <c r="R255" s="642" t="s">
        <v>434</v>
      </c>
    </row>
    <row r="256" spans="1:18" ht="28.5" customHeight="1" outlineLevel="2">
      <c r="A256" s="85" t="s">
        <v>588</v>
      </c>
      <c r="B256" s="400" t="s">
        <v>1862</v>
      </c>
      <c r="C256" s="85" t="s">
        <v>759</v>
      </c>
      <c r="D256" s="148" t="s">
        <v>7</v>
      </c>
      <c r="E256" s="87">
        <v>2018</v>
      </c>
      <c r="F256" s="88">
        <v>79</v>
      </c>
      <c r="G256" s="120" t="s">
        <v>818</v>
      </c>
      <c r="H256" s="581" t="s">
        <v>822</v>
      </c>
      <c r="I256" s="601">
        <v>1000</v>
      </c>
      <c r="J256" s="595" t="s">
        <v>9</v>
      </c>
      <c r="K256" s="91">
        <v>1</v>
      </c>
      <c r="L256" s="91">
        <v>3</v>
      </c>
      <c r="M256" s="92">
        <v>32</v>
      </c>
      <c r="N256" s="119" t="str">
        <f>VLOOKUP(M256,'PF Uscite Sp. Corr.'!$C$1:$E$100,2,FALSE)</f>
        <v>Altri beni di consumo</v>
      </c>
      <c r="O256" s="131">
        <v>1410</v>
      </c>
      <c r="P256" s="614" t="str">
        <f>VLOOKUP(O256,'Centri di Costo'!$A$2:$B$179,2,FALSE)</f>
        <v xml:space="preserve">Po di Tramontana - Totale Attività Ordinaria </v>
      </c>
      <c r="Q256" s="623" t="s">
        <v>1997</v>
      </c>
      <c r="R256" s="642" t="s">
        <v>320</v>
      </c>
    </row>
    <row r="257" spans="1:18" ht="28.5" customHeight="1" outlineLevel="2">
      <c r="A257" s="85" t="s">
        <v>588</v>
      </c>
      <c r="B257" s="400" t="s">
        <v>1862</v>
      </c>
      <c r="C257" s="85" t="s">
        <v>759</v>
      </c>
      <c r="D257" s="148" t="s">
        <v>7</v>
      </c>
      <c r="E257" s="87">
        <v>2018</v>
      </c>
      <c r="F257" s="88">
        <v>78</v>
      </c>
      <c r="G257" s="120" t="s">
        <v>804</v>
      </c>
      <c r="H257" s="581" t="s">
        <v>814</v>
      </c>
      <c r="I257" s="601">
        <v>500</v>
      </c>
      <c r="J257" s="595" t="s">
        <v>9</v>
      </c>
      <c r="K257" s="91">
        <v>1</v>
      </c>
      <c r="L257" s="91">
        <v>3</v>
      </c>
      <c r="M257" s="92">
        <v>33</v>
      </c>
      <c r="N257" s="119" t="str">
        <f>VLOOKUP(M257,'PF Uscite Sp. Corr.'!$C$1:$E$100,2,FALSE)</f>
        <v>Flora e Fauna</v>
      </c>
      <c r="O257" s="131">
        <v>1410</v>
      </c>
      <c r="P257" s="614" t="str">
        <f>VLOOKUP(O257,'Centri di Costo'!$A$2:$B$179,2,FALSE)</f>
        <v xml:space="preserve">Po di Tramontana - Totale Attività Ordinaria </v>
      </c>
      <c r="Q257" s="623" t="s">
        <v>1997</v>
      </c>
      <c r="R257" s="642" t="s">
        <v>815</v>
      </c>
    </row>
    <row r="258" spans="1:18" ht="28.5" customHeight="1" outlineLevel="2">
      <c r="A258" s="85" t="s">
        <v>588</v>
      </c>
      <c r="B258" s="400" t="s">
        <v>1862</v>
      </c>
      <c r="C258" s="85" t="s">
        <v>759</v>
      </c>
      <c r="D258" s="148" t="s">
        <v>7</v>
      </c>
      <c r="E258" s="87">
        <v>2018</v>
      </c>
      <c r="F258" s="88">
        <v>75</v>
      </c>
      <c r="G258" s="120" t="s">
        <v>760</v>
      </c>
      <c r="H258" s="581" t="s">
        <v>797</v>
      </c>
      <c r="I258" s="601">
        <v>1500</v>
      </c>
      <c r="J258" s="595" t="s">
        <v>9</v>
      </c>
      <c r="K258" s="91">
        <v>1</v>
      </c>
      <c r="L258" s="91">
        <v>3</v>
      </c>
      <c r="M258" s="92">
        <v>42</v>
      </c>
      <c r="N258" s="119" t="str">
        <f>VLOOKUP(M258,'PF Uscite Sp. Corr.'!$C$1:$E$100,2,FALSE)</f>
        <v>Rimborso viaggio e Indennità di missione e trasferta</v>
      </c>
      <c r="O258" s="131">
        <v>1410</v>
      </c>
      <c r="P258" s="614" t="str">
        <f>VLOOKUP(O258,'Centri di Costo'!$A$2:$B$179,2,FALSE)</f>
        <v xml:space="preserve">Po di Tramontana - Totale Attività Ordinaria </v>
      </c>
      <c r="Q258" s="623" t="s">
        <v>1997</v>
      </c>
      <c r="R258" s="642" t="s">
        <v>74</v>
      </c>
    </row>
    <row r="259" spans="1:18" ht="28.5" customHeight="1" outlineLevel="2">
      <c r="A259" s="85" t="s">
        <v>588</v>
      </c>
      <c r="B259" s="400" t="s">
        <v>1862</v>
      </c>
      <c r="C259" s="85" t="s">
        <v>759</v>
      </c>
      <c r="D259" s="148" t="s">
        <v>7</v>
      </c>
      <c r="E259" s="87">
        <v>2018</v>
      </c>
      <c r="F259" s="88">
        <v>75</v>
      </c>
      <c r="G259" s="120" t="s">
        <v>760</v>
      </c>
      <c r="H259" s="581" t="s">
        <v>796</v>
      </c>
      <c r="I259" s="601">
        <v>1500</v>
      </c>
      <c r="J259" s="595" t="s">
        <v>9</v>
      </c>
      <c r="K259" s="91">
        <v>1</v>
      </c>
      <c r="L259" s="91">
        <v>3</v>
      </c>
      <c r="M259" s="92">
        <v>44</v>
      </c>
      <c r="N259" s="119" t="str">
        <f>VLOOKUP(M259,'PF Uscite Sp. Corr.'!$C$1:$E$100,2,FALSE)</f>
        <v>Acquisto di servizi per formazione e addestramento del personale dell'ente</v>
      </c>
      <c r="O259" s="131">
        <v>1410</v>
      </c>
      <c r="P259" s="614" t="str">
        <f>VLOOKUP(O259,'Centri di Costo'!$A$2:$B$179,2,FALSE)</f>
        <v xml:space="preserve">Po di Tramontana - Totale Attività Ordinaria </v>
      </c>
      <c r="Q259" s="623" t="s">
        <v>1997</v>
      </c>
      <c r="R259" s="642" t="s">
        <v>156</v>
      </c>
    </row>
    <row r="260" spans="1:18" ht="28.5" customHeight="1" outlineLevel="2">
      <c r="A260" s="85" t="s">
        <v>588</v>
      </c>
      <c r="B260" s="400" t="s">
        <v>1862</v>
      </c>
      <c r="C260" s="85" t="s">
        <v>759</v>
      </c>
      <c r="D260" s="148" t="s">
        <v>7</v>
      </c>
      <c r="E260" s="87">
        <v>2018</v>
      </c>
      <c r="F260" s="88">
        <v>75</v>
      </c>
      <c r="G260" s="120" t="s">
        <v>760</v>
      </c>
      <c r="H260" s="581" t="s">
        <v>787</v>
      </c>
      <c r="I260" s="601">
        <v>250</v>
      </c>
      <c r="J260" s="595" t="s">
        <v>9</v>
      </c>
      <c r="K260" s="91">
        <v>1</v>
      </c>
      <c r="L260" s="91">
        <v>3</v>
      </c>
      <c r="M260" s="92">
        <v>45</v>
      </c>
      <c r="N260" s="119" t="str">
        <f>VLOOKUP(M260,'PF Uscite Sp. Corr.'!$C$1:$E$100,2,FALSE)</f>
        <v>Utenze e canoni</v>
      </c>
      <c r="O260" s="131">
        <v>1410</v>
      </c>
      <c r="P260" s="614" t="str">
        <f>VLOOKUP(O260,'Centri di Costo'!$A$2:$B$179,2,FALSE)</f>
        <v xml:space="preserve">Po di Tramontana - Totale Attività Ordinaria </v>
      </c>
      <c r="Q260" s="623" t="s">
        <v>1997</v>
      </c>
      <c r="R260" s="642" t="s">
        <v>387</v>
      </c>
    </row>
    <row r="261" spans="1:18" ht="28.5" customHeight="1" outlineLevel="2">
      <c r="A261" s="85" t="s">
        <v>588</v>
      </c>
      <c r="B261" s="400" t="s">
        <v>1862</v>
      </c>
      <c r="C261" s="85" t="s">
        <v>759</v>
      </c>
      <c r="D261" s="148" t="s">
        <v>7</v>
      </c>
      <c r="E261" s="87">
        <v>2018</v>
      </c>
      <c r="F261" s="88">
        <v>75</v>
      </c>
      <c r="G261" s="120" t="s">
        <v>760</v>
      </c>
      <c r="H261" s="581" t="s">
        <v>644</v>
      </c>
      <c r="I261" s="601">
        <v>500</v>
      </c>
      <c r="J261" s="595" t="s">
        <v>9</v>
      </c>
      <c r="K261" s="91">
        <v>1</v>
      </c>
      <c r="L261" s="91">
        <v>3</v>
      </c>
      <c r="M261" s="92">
        <v>45</v>
      </c>
      <c r="N261" s="119" t="str">
        <f>VLOOKUP(M261,'PF Uscite Sp. Corr.'!$C$1:$E$100,2,FALSE)</f>
        <v>Utenze e canoni</v>
      </c>
      <c r="O261" s="131">
        <v>1410</v>
      </c>
      <c r="P261" s="614" t="str">
        <f>VLOOKUP(O261,'Centri di Costo'!$A$2:$B$179,2,FALSE)</f>
        <v xml:space="preserve">Po di Tramontana - Totale Attività Ordinaria </v>
      </c>
      <c r="Q261" s="624" t="s">
        <v>2014</v>
      </c>
      <c r="R261" s="642" t="s">
        <v>75</v>
      </c>
    </row>
    <row r="262" spans="1:18" ht="28.5" customHeight="1" outlineLevel="2">
      <c r="A262" s="85" t="s">
        <v>588</v>
      </c>
      <c r="B262" s="400" t="s">
        <v>1862</v>
      </c>
      <c r="C262" s="85" t="s">
        <v>759</v>
      </c>
      <c r="D262" s="148" t="s">
        <v>7</v>
      </c>
      <c r="E262" s="87">
        <v>2018</v>
      </c>
      <c r="F262" s="88">
        <v>75</v>
      </c>
      <c r="G262" s="120" t="s">
        <v>760</v>
      </c>
      <c r="H262" s="581" t="s">
        <v>57</v>
      </c>
      <c r="I262" s="601">
        <v>20000</v>
      </c>
      <c r="J262" s="595" t="s">
        <v>9</v>
      </c>
      <c r="K262" s="91">
        <v>1</v>
      </c>
      <c r="L262" s="91">
        <v>3</v>
      </c>
      <c r="M262" s="92">
        <v>45</v>
      </c>
      <c r="N262" s="119" t="str">
        <f>VLOOKUP(M262,'PF Uscite Sp. Corr.'!$C$1:$E$100,2,FALSE)</f>
        <v>Utenze e canoni</v>
      </c>
      <c r="O262" s="131">
        <v>1410</v>
      </c>
      <c r="P262" s="614" t="str">
        <f>VLOOKUP(O262,'Centri di Costo'!$A$2:$B$179,2,FALSE)</f>
        <v xml:space="preserve">Po di Tramontana - Totale Attività Ordinaria </v>
      </c>
      <c r="Q262" s="624" t="s">
        <v>2014</v>
      </c>
      <c r="R262" s="642" t="s">
        <v>58</v>
      </c>
    </row>
    <row r="263" spans="1:18" ht="28.5" customHeight="1" outlineLevel="2">
      <c r="A263" s="85" t="s">
        <v>588</v>
      </c>
      <c r="B263" s="400" t="s">
        <v>1862</v>
      </c>
      <c r="C263" s="85" t="s">
        <v>759</v>
      </c>
      <c r="D263" s="148" t="s">
        <v>7</v>
      </c>
      <c r="E263" s="87">
        <v>2018</v>
      </c>
      <c r="F263" s="88">
        <v>75</v>
      </c>
      <c r="G263" s="120" t="s">
        <v>760</v>
      </c>
      <c r="H263" s="581" t="s">
        <v>2031</v>
      </c>
      <c r="I263" s="601">
        <v>0</v>
      </c>
      <c r="J263" s="595" t="s">
        <v>9</v>
      </c>
      <c r="K263" s="91">
        <v>1</v>
      </c>
      <c r="L263" s="91">
        <v>3</v>
      </c>
      <c r="M263" s="92">
        <v>45</v>
      </c>
      <c r="N263" s="119" t="str">
        <f>VLOOKUP(M263,'PF Uscite Sp. Corr.'!$C$1:$E$100,2,FALSE)</f>
        <v>Utenze e canoni</v>
      </c>
      <c r="O263" s="131">
        <v>1410</v>
      </c>
      <c r="P263" s="614" t="str">
        <f>VLOOKUP(O263,'Centri di Costo'!$A$2:$B$179,2,FALSE)</f>
        <v xml:space="preserve">Po di Tramontana - Totale Attività Ordinaria </v>
      </c>
      <c r="Q263" s="624" t="s">
        <v>2014</v>
      </c>
      <c r="R263" s="642" t="s">
        <v>77</v>
      </c>
    </row>
    <row r="264" spans="1:18" ht="28.5" customHeight="1" outlineLevel="2">
      <c r="A264" s="85" t="s">
        <v>588</v>
      </c>
      <c r="B264" s="400" t="s">
        <v>1862</v>
      </c>
      <c r="C264" s="85" t="s">
        <v>759</v>
      </c>
      <c r="D264" s="148" t="s">
        <v>7</v>
      </c>
      <c r="E264" s="87">
        <v>2018</v>
      </c>
      <c r="F264" s="88">
        <v>75</v>
      </c>
      <c r="G264" s="120" t="s">
        <v>760</v>
      </c>
      <c r="H264" s="581" t="s">
        <v>64</v>
      </c>
      <c r="I264" s="601">
        <v>3000</v>
      </c>
      <c r="J264" s="595" t="s">
        <v>9</v>
      </c>
      <c r="K264" s="91">
        <v>1</v>
      </c>
      <c r="L264" s="91">
        <v>3</v>
      </c>
      <c r="M264" s="92">
        <v>45</v>
      </c>
      <c r="N264" s="119" t="str">
        <f>VLOOKUP(M264,'PF Uscite Sp. Corr.'!$C$1:$E$100,2,FALSE)</f>
        <v>Utenze e canoni</v>
      </c>
      <c r="O264" s="131">
        <v>1410</v>
      </c>
      <c r="P264" s="614" t="str">
        <f>VLOOKUP(O264,'Centri di Costo'!$A$2:$B$179,2,FALSE)</f>
        <v xml:space="preserve">Po di Tramontana - Totale Attività Ordinaria </v>
      </c>
      <c r="Q264" s="624" t="s">
        <v>2014</v>
      </c>
      <c r="R264" s="642" t="s">
        <v>65</v>
      </c>
    </row>
    <row r="265" spans="1:18" ht="28.5" customHeight="1" outlineLevel="2">
      <c r="A265" s="85" t="s">
        <v>588</v>
      </c>
      <c r="B265" s="400" t="s">
        <v>1862</v>
      </c>
      <c r="C265" s="85" t="s">
        <v>759</v>
      </c>
      <c r="D265" s="148" t="s">
        <v>7</v>
      </c>
      <c r="E265" s="87">
        <v>2018</v>
      </c>
      <c r="F265" s="88">
        <v>75</v>
      </c>
      <c r="G265" s="120" t="s">
        <v>760</v>
      </c>
      <c r="H265" s="581" t="s">
        <v>66</v>
      </c>
      <c r="I265" s="601">
        <v>1500</v>
      </c>
      <c r="J265" s="595" t="s">
        <v>9</v>
      </c>
      <c r="K265" s="91">
        <v>1</v>
      </c>
      <c r="L265" s="91">
        <v>3</v>
      </c>
      <c r="M265" s="92">
        <v>45</v>
      </c>
      <c r="N265" s="119" t="str">
        <f>VLOOKUP(M265,'PF Uscite Sp. Corr.'!$C$1:$E$100,2,FALSE)</f>
        <v>Utenze e canoni</v>
      </c>
      <c r="O265" s="131">
        <v>1410</v>
      </c>
      <c r="P265" s="614" t="str">
        <f>VLOOKUP(O265,'Centri di Costo'!$A$2:$B$179,2,FALSE)</f>
        <v xml:space="preserve">Po di Tramontana - Totale Attività Ordinaria </v>
      </c>
      <c r="Q265" s="623" t="s">
        <v>1997</v>
      </c>
      <c r="R265" s="642" t="s">
        <v>67</v>
      </c>
    </row>
    <row r="266" spans="1:18" ht="28.5" customHeight="1" outlineLevel="2">
      <c r="A266" s="85" t="s">
        <v>588</v>
      </c>
      <c r="B266" s="400" t="s">
        <v>1862</v>
      </c>
      <c r="C266" s="85" t="s">
        <v>759</v>
      </c>
      <c r="D266" s="148" t="s">
        <v>7</v>
      </c>
      <c r="E266" s="87">
        <v>2018</v>
      </c>
      <c r="F266" s="88">
        <v>78</v>
      </c>
      <c r="G266" s="120" t="s">
        <v>804</v>
      </c>
      <c r="H266" s="581" t="s">
        <v>57</v>
      </c>
      <c r="I266" s="601">
        <v>10000</v>
      </c>
      <c r="J266" s="595" t="s">
        <v>9</v>
      </c>
      <c r="K266" s="91">
        <v>1</v>
      </c>
      <c r="L266" s="91">
        <v>3</v>
      </c>
      <c r="M266" s="92">
        <v>45</v>
      </c>
      <c r="N266" s="119" t="str">
        <f>VLOOKUP(M266,'PF Uscite Sp. Corr.'!$C$1:$E$100,2,FALSE)</f>
        <v>Utenze e canoni</v>
      </c>
      <c r="O266" s="131">
        <v>1410</v>
      </c>
      <c r="P266" s="614" t="str">
        <f>VLOOKUP(O266,'Centri di Costo'!$A$2:$B$179,2,FALSE)</f>
        <v xml:space="preserve">Po di Tramontana - Totale Attività Ordinaria </v>
      </c>
      <c r="Q266" s="624" t="s">
        <v>2014</v>
      </c>
      <c r="R266" s="642" t="s">
        <v>58</v>
      </c>
    </row>
    <row r="267" spans="1:18" ht="28.5" customHeight="1" outlineLevel="2">
      <c r="A267" s="85" t="s">
        <v>588</v>
      </c>
      <c r="B267" s="400" t="s">
        <v>1862</v>
      </c>
      <c r="C267" s="85" t="s">
        <v>759</v>
      </c>
      <c r="D267" s="148" t="s">
        <v>7</v>
      </c>
      <c r="E267" s="87">
        <v>2018</v>
      </c>
      <c r="F267" s="88">
        <v>79</v>
      </c>
      <c r="G267" s="120" t="s">
        <v>818</v>
      </c>
      <c r="H267" s="581" t="s">
        <v>57</v>
      </c>
      <c r="I267" s="601">
        <v>5000</v>
      </c>
      <c r="J267" s="595" t="s">
        <v>9</v>
      </c>
      <c r="K267" s="91">
        <v>1</v>
      </c>
      <c r="L267" s="91">
        <v>3</v>
      </c>
      <c r="M267" s="92">
        <v>45</v>
      </c>
      <c r="N267" s="119" t="str">
        <f>VLOOKUP(M267,'PF Uscite Sp. Corr.'!$C$1:$E$100,2,FALSE)</f>
        <v>Utenze e canoni</v>
      </c>
      <c r="O267" s="131">
        <v>1410</v>
      </c>
      <c r="P267" s="614" t="str">
        <f>VLOOKUP(O267,'Centri di Costo'!$A$2:$B$179,2,FALSE)</f>
        <v xml:space="preserve">Po di Tramontana - Totale Attività Ordinaria </v>
      </c>
      <c r="Q267" s="624" t="s">
        <v>2014</v>
      </c>
      <c r="R267" s="642" t="s">
        <v>58</v>
      </c>
    </row>
    <row r="268" spans="1:18" ht="28.5" customHeight="1" outlineLevel="2">
      <c r="A268" s="85" t="s">
        <v>588</v>
      </c>
      <c r="B268" s="400" t="s">
        <v>1862</v>
      </c>
      <c r="C268" s="85" t="s">
        <v>759</v>
      </c>
      <c r="D268" s="148" t="s">
        <v>7</v>
      </c>
      <c r="E268" s="87">
        <v>2018</v>
      </c>
      <c r="F268" s="88">
        <v>75</v>
      </c>
      <c r="G268" s="120" t="s">
        <v>760</v>
      </c>
      <c r="H268" s="581" t="s">
        <v>792</v>
      </c>
      <c r="I268" s="601">
        <v>500</v>
      </c>
      <c r="J268" s="595" t="s">
        <v>9</v>
      </c>
      <c r="K268" s="91">
        <v>1</v>
      </c>
      <c r="L268" s="91">
        <v>3</v>
      </c>
      <c r="M268" s="92">
        <v>47</v>
      </c>
      <c r="N268" s="119" t="str">
        <f>VLOOKUP(M268,'PF Uscite Sp. Corr.'!$C$1:$E$100,2,FALSE)</f>
        <v>Utilizzo di beni di terzi</v>
      </c>
      <c r="O268" s="131">
        <v>1410</v>
      </c>
      <c r="P268" s="614" t="str">
        <f>VLOOKUP(O268,'Centri di Costo'!$A$2:$B$179,2,FALSE)</f>
        <v xml:space="preserve">Po di Tramontana - Totale Attività Ordinaria </v>
      </c>
      <c r="Q268" s="623" t="s">
        <v>1997</v>
      </c>
      <c r="R268" s="642" t="s">
        <v>555</v>
      </c>
    </row>
    <row r="269" spans="1:18" ht="28.5" customHeight="1" outlineLevel="2">
      <c r="A269" s="85" t="s">
        <v>588</v>
      </c>
      <c r="B269" s="400" t="s">
        <v>1862</v>
      </c>
      <c r="C269" s="85" t="s">
        <v>759</v>
      </c>
      <c r="D269" s="148" t="s">
        <v>7</v>
      </c>
      <c r="E269" s="87">
        <v>2018</v>
      </c>
      <c r="F269" s="88">
        <v>75</v>
      </c>
      <c r="G269" s="120" t="s">
        <v>760</v>
      </c>
      <c r="H269" s="581" t="s">
        <v>793</v>
      </c>
      <c r="I269" s="601">
        <v>1000</v>
      </c>
      <c r="J269" s="595" t="s">
        <v>9</v>
      </c>
      <c r="K269" s="91">
        <v>1</v>
      </c>
      <c r="L269" s="91">
        <v>3</v>
      </c>
      <c r="M269" s="92">
        <v>47</v>
      </c>
      <c r="N269" s="119" t="str">
        <f>VLOOKUP(M269,'PF Uscite Sp. Corr.'!$C$1:$E$100,2,FALSE)</f>
        <v>Utilizzo di beni di terzi</v>
      </c>
      <c r="O269" s="131">
        <v>1410</v>
      </c>
      <c r="P269" s="614" t="str">
        <f>VLOOKUP(O269,'Centri di Costo'!$A$2:$B$179,2,FALSE)</f>
        <v xml:space="preserve">Po di Tramontana - Totale Attività Ordinaria </v>
      </c>
      <c r="Q269" s="623" t="s">
        <v>1997</v>
      </c>
      <c r="R269" s="642" t="s">
        <v>80</v>
      </c>
    </row>
    <row r="270" spans="1:18" ht="28.5" customHeight="1" outlineLevel="2">
      <c r="A270" s="85" t="s">
        <v>588</v>
      </c>
      <c r="B270" s="400" t="s">
        <v>1862</v>
      </c>
      <c r="C270" s="85" t="s">
        <v>759</v>
      </c>
      <c r="D270" s="148" t="s">
        <v>7</v>
      </c>
      <c r="E270" s="87">
        <v>2018</v>
      </c>
      <c r="F270" s="88">
        <v>75</v>
      </c>
      <c r="G270" s="120" t="s">
        <v>760</v>
      </c>
      <c r="H270" s="581" t="s">
        <v>762</v>
      </c>
      <c r="I270" s="601">
        <v>1000</v>
      </c>
      <c r="J270" s="595" t="s">
        <v>9</v>
      </c>
      <c r="K270" s="91">
        <v>1</v>
      </c>
      <c r="L270" s="91">
        <v>3</v>
      </c>
      <c r="M270" s="92">
        <v>49</v>
      </c>
      <c r="N270" s="119" t="str">
        <f>VLOOKUP(M270,'PF Uscite Sp. Corr.'!$C$1:$E$100,2,FALSE)</f>
        <v>Manutenzione ordinaria e riparazioni</v>
      </c>
      <c r="O270" s="131">
        <v>1410</v>
      </c>
      <c r="P270" s="614" t="str">
        <f>VLOOKUP(O270,'Centri di Costo'!$A$2:$B$179,2,FALSE)</f>
        <v xml:space="preserve">Po di Tramontana - Totale Attività Ordinaria </v>
      </c>
      <c r="Q270" s="623" t="s">
        <v>1997</v>
      </c>
      <c r="R270" s="642" t="s">
        <v>647</v>
      </c>
    </row>
    <row r="271" spans="1:18" ht="28.5" customHeight="1" outlineLevel="2">
      <c r="A271" s="85" t="s">
        <v>588</v>
      </c>
      <c r="B271" s="400" t="s">
        <v>1862</v>
      </c>
      <c r="C271" s="85" t="s">
        <v>759</v>
      </c>
      <c r="D271" s="148" t="s">
        <v>7</v>
      </c>
      <c r="E271" s="87">
        <v>2018</v>
      </c>
      <c r="F271" s="88">
        <v>75</v>
      </c>
      <c r="G271" s="120" t="s">
        <v>760</v>
      </c>
      <c r="H271" s="581" t="s">
        <v>361</v>
      </c>
      <c r="I271" s="601">
        <v>7000</v>
      </c>
      <c r="J271" s="595" t="s">
        <v>9</v>
      </c>
      <c r="K271" s="91">
        <v>1</v>
      </c>
      <c r="L271" s="91">
        <v>3</v>
      </c>
      <c r="M271" s="92">
        <v>49</v>
      </c>
      <c r="N271" s="119" t="str">
        <f>VLOOKUP(M271,'PF Uscite Sp. Corr.'!$C$1:$E$100,2,FALSE)</f>
        <v>Manutenzione ordinaria e riparazioni</v>
      </c>
      <c r="O271" s="131">
        <v>1410</v>
      </c>
      <c r="P271" s="614" t="str">
        <f>VLOOKUP(O271,'Centri di Costo'!$A$2:$B$179,2,FALSE)</f>
        <v xml:space="preserve">Po di Tramontana - Totale Attività Ordinaria </v>
      </c>
      <c r="Q271" s="623" t="s">
        <v>1997</v>
      </c>
      <c r="R271" s="642" t="s">
        <v>99</v>
      </c>
    </row>
    <row r="272" spans="1:18" ht="28.5" customHeight="1" outlineLevel="2">
      <c r="A272" s="85" t="s">
        <v>588</v>
      </c>
      <c r="B272" s="400" t="s">
        <v>1862</v>
      </c>
      <c r="C272" s="85" t="s">
        <v>759</v>
      </c>
      <c r="D272" s="148" t="s">
        <v>7</v>
      </c>
      <c r="E272" s="87">
        <v>2018</v>
      </c>
      <c r="F272" s="88">
        <v>75</v>
      </c>
      <c r="G272" s="120" t="s">
        <v>760</v>
      </c>
      <c r="H272" s="581" t="s">
        <v>621</v>
      </c>
      <c r="I272" s="601">
        <v>20000</v>
      </c>
      <c r="J272" s="595" t="s">
        <v>9</v>
      </c>
      <c r="K272" s="91">
        <v>1</v>
      </c>
      <c r="L272" s="91">
        <v>3</v>
      </c>
      <c r="M272" s="92">
        <v>49</v>
      </c>
      <c r="N272" s="119" t="str">
        <f>VLOOKUP(M272,'PF Uscite Sp. Corr.'!$C$1:$E$100,2,FALSE)</f>
        <v>Manutenzione ordinaria e riparazioni</v>
      </c>
      <c r="O272" s="131">
        <v>1410</v>
      </c>
      <c r="P272" s="614" t="str">
        <f>VLOOKUP(O272,'Centri di Costo'!$A$2:$B$179,2,FALSE)</f>
        <v xml:space="preserve">Po di Tramontana - Totale Attività Ordinaria </v>
      </c>
      <c r="Q272" s="623" t="s">
        <v>1997</v>
      </c>
      <c r="R272" s="642" t="s">
        <v>93</v>
      </c>
    </row>
    <row r="273" spans="1:18" ht="28.5" customHeight="1" outlineLevel="2">
      <c r="A273" s="85" t="s">
        <v>588</v>
      </c>
      <c r="B273" s="400" t="s">
        <v>1862</v>
      </c>
      <c r="C273" s="85" t="s">
        <v>759</v>
      </c>
      <c r="D273" s="148" t="s">
        <v>7</v>
      </c>
      <c r="E273" s="87">
        <v>2018</v>
      </c>
      <c r="F273" s="88">
        <v>75</v>
      </c>
      <c r="G273" s="120" t="s">
        <v>760</v>
      </c>
      <c r="H273" s="581" t="s">
        <v>788</v>
      </c>
      <c r="I273" s="601">
        <v>4500</v>
      </c>
      <c r="J273" s="595" t="s">
        <v>9</v>
      </c>
      <c r="K273" s="91">
        <v>1</v>
      </c>
      <c r="L273" s="91">
        <v>3</v>
      </c>
      <c r="M273" s="92">
        <v>49</v>
      </c>
      <c r="N273" s="119" t="str">
        <f>VLOOKUP(M273,'PF Uscite Sp. Corr.'!$C$1:$E$100,2,FALSE)</f>
        <v>Manutenzione ordinaria e riparazioni</v>
      </c>
      <c r="O273" s="131">
        <v>1410</v>
      </c>
      <c r="P273" s="614" t="str">
        <f>VLOOKUP(O273,'Centri di Costo'!$A$2:$B$179,2,FALSE)</f>
        <v xml:space="preserve">Po di Tramontana - Totale Attività Ordinaria </v>
      </c>
      <c r="Q273" s="623" t="s">
        <v>1997</v>
      </c>
      <c r="R273" s="642" t="s">
        <v>409</v>
      </c>
    </row>
    <row r="274" spans="1:18" ht="28.5" customHeight="1" outlineLevel="2">
      <c r="A274" s="85" t="s">
        <v>588</v>
      </c>
      <c r="B274" s="400" t="s">
        <v>1862</v>
      </c>
      <c r="C274" s="85" t="s">
        <v>759</v>
      </c>
      <c r="D274" s="148" t="s">
        <v>7</v>
      </c>
      <c r="E274" s="87">
        <v>2018</v>
      </c>
      <c r="F274" s="88">
        <v>75</v>
      </c>
      <c r="G274" s="120" t="s">
        <v>760</v>
      </c>
      <c r="H274" s="581" t="s">
        <v>789</v>
      </c>
      <c r="I274" s="601">
        <v>500</v>
      </c>
      <c r="J274" s="595" t="s">
        <v>9</v>
      </c>
      <c r="K274" s="91">
        <v>1</v>
      </c>
      <c r="L274" s="91">
        <v>3</v>
      </c>
      <c r="M274" s="92">
        <v>49</v>
      </c>
      <c r="N274" s="119" t="str">
        <f>VLOOKUP(M274,'PF Uscite Sp. Corr.'!$C$1:$E$100,2,FALSE)</f>
        <v>Manutenzione ordinaria e riparazioni</v>
      </c>
      <c r="O274" s="131">
        <v>1410</v>
      </c>
      <c r="P274" s="614" t="str">
        <f>VLOOKUP(O274,'Centri di Costo'!$A$2:$B$179,2,FALSE)</f>
        <v xml:space="preserve">Po di Tramontana - Totale Attività Ordinaria </v>
      </c>
      <c r="Q274" s="623" t="s">
        <v>1997</v>
      </c>
      <c r="R274" s="642" t="s">
        <v>790</v>
      </c>
    </row>
    <row r="275" spans="1:18" ht="28.5" customHeight="1" outlineLevel="2">
      <c r="A275" s="85" t="s">
        <v>588</v>
      </c>
      <c r="B275" s="400" t="s">
        <v>1862</v>
      </c>
      <c r="C275" s="85" t="s">
        <v>759</v>
      </c>
      <c r="D275" s="148" t="s">
        <v>7</v>
      </c>
      <c r="E275" s="87">
        <v>2018</v>
      </c>
      <c r="F275" s="88">
        <v>75</v>
      </c>
      <c r="G275" s="120" t="s">
        <v>760</v>
      </c>
      <c r="H275" s="581" t="s">
        <v>791</v>
      </c>
      <c r="I275" s="601">
        <v>1000</v>
      </c>
      <c r="J275" s="595" t="s">
        <v>9</v>
      </c>
      <c r="K275" s="91">
        <v>1</v>
      </c>
      <c r="L275" s="91">
        <v>3</v>
      </c>
      <c r="M275" s="92">
        <v>49</v>
      </c>
      <c r="N275" s="119" t="str">
        <f>VLOOKUP(M275,'PF Uscite Sp. Corr.'!$C$1:$E$100,2,FALSE)</f>
        <v>Manutenzione ordinaria e riparazioni</v>
      </c>
      <c r="O275" s="131">
        <v>1410</v>
      </c>
      <c r="P275" s="614" t="str">
        <f>VLOOKUP(O275,'Centri di Costo'!$A$2:$B$179,2,FALSE)</f>
        <v xml:space="preserve">Po di Tramontana - Totale Attività Ordinaria </v>
      </c>
      <c r="Q275" s="623" t="s">
        <v>1997</v>
      </c>
      <c r="R275" s="642" t="s">
        <v>103</v>
      </c>
    </row>
    <row r="276" spans="1:18" ht="28.5" customHeight="1" outlineLevel="2">
      <c r="A276" s="85" t="s">
        <v>588</v>
      </c>
      <c r="B276" s="400" t="s">
        <v>1862</v>
      </c>
      <c r="C276" s="85" t="s">
        <v>759</v>
      </c>
      <c r="D276" s="148" t="s">
        <v>7</v>
      </c>
      <c r="E276" s="87">
        <v>2018</v>
      </c>
      <c r="F276" s="88">
        <v>75</v>
      </c>
      <c r="G276" s="120" t="s">
        <v>760</v>
      </c>
      <c r="H276" s="581" t="s">
        <v>373</v>
      </c>
      <c r="I276" s="601">
        <v>500</v>
      </c>
      <c r="J276" s="595" t="s">
        <v>9</v>
      </c>
      <c r="K276" s="91">
        <v>1</v>
      </c>
      <c r="L276" s="91">
        <v>3</v>
      </c>
      <c r="M276" s="92">
        <v>49</v>
      </c>
      <c r="N276" s="119" t="str">
        <f>VLOOKUP(M276,'PF Uscite Sp. Corr.'!$C$1:$E$100,2,FALSE)</f>
        <v>Manutenzione ordinaria e riparazioni</v>
      </c>
      <c r="O276" s="131">
        <v>1410</v>
      </c>
      <c r="P276" s="614" t="str">
        <f>VLOOKUP(O276,'Centri di Costo'!$A$2:$B$179,2,FALSE)</f>
        <v xml:space="preserve">Po di Tramontana - Totale Attività Ordinaria </v>
      </c>
      <c r="Q276" s="623" t="s">
        <v>1997</v>
      </c>
      <c r="R276" s="642" t="s">
        <v>111</v>
      </c>
    </row>
    <row r="277" spans="1:18" ht="28.5" customHeight="1" outlineLevel="2">
      <c r="A277" s="85" t="s">
        <v>588</v>
      </c>
      <c r="B277" s="400" t="s">
        <v>1862</v>
      </c>
      <c r="C277" s="85" t="s">
        <v>759</v>
      </c>
      <c r="D277" s="148" t="s">
        <v>7</v>
      </c>
      <c r="E277" s="87">
        <v>2018</v>
      </c>
      <c r="F277" s="88">
        <v>75</v>
      </c>
      <c r="G277" s="120" t="s">
        <v>760</v>
      </c>
      <c r="H277" s="581" t="s">
        <v>801</v>
      </c>
      <c r="I277" s="601">
        <v>4500</v>
      </c>
      <c r="J277" s="595" t="s">
        <v>9</v>
      </c>
      <c r="K277" s="91">
        <v>1</v>
      </c>
      <c r="L277" s="91">
        <v>3</v>
      </c>
      <c r="M277" s="92">
        <v>49</v>
      </c>
      <c r="N277" s="119" t="str">
        <f>VLOOKUP(M277,'PF Uscite Sp. Corr.'!$C$1:$E$100,2,FALSE)</f>
        <v>Manutenzione ordinaria e riparazioni</v>
      </c>
      <c r="O277" s="131">
        <v>1410</v>
      </c>
      <c r="P277" s="614" t="str">
        <f>VLOOKUP(O277,'Centri di Costo'!$A$2:$B$179,2,FALSE)</f>
        <v xml:space="preserve">Po di Tramontana - Totale Attività Ordinaria </v>
      </c>
      <c r="Q277" s="623" t="s">
        <v>1997</v>
      </c>
      <c r="R277" s="642" t="s">
        <v>612</v>
      </c>
    </row>
    <row r="278" spans="1:18" ht="28.5" customHeight="1" outlineLevel="2">
      <c r="A278" s="85" t="s">
        <v>588</v>
      </c>
      <c r="B278" s="400" t="s">
        <v>1862</v>
      </c>
      <c r="C278" s="85" t="s">
        <v>759</v>
      </c>
      <c r="D278" s="148" t="s">
        <v>7</v>
      </c>
      <c r="E278" s="87">
        <v>2018</v>
      </c>
      <c r="F278" s="88">
        <v>75</v>
      </c>
      <c r="G278" s="120" t="s">
        <v>760</v>
      </c>
      <c r="H278" s="581" t="s">
        <v>802</v>
      </c>
      <c r="I278" s="601">
        <v>1000</v>
      </c>
      <c r="J278" s="595" t="s">
        <v>9</v>
      </c>
      <c r="K278" s="91">
        <v>1</v>
      </c>
      <c r="L278" s="91">
        <v>3</v>
      </c>
      <c r="M278" s="92">
        <v>49</v>
      </c>
      <c r="N278" s="119" t="str">
        <f>VLOOKUP(M278,'PF Uscite Sp. Corr.'!$C$1:$E$100,2,FALSE)</f>
        <v>Manutenzione ordinaria e riparazioni</v>
      </c>
      <c r="O278" s="131">
        <v>1410</v>
      </c>
      <c r="P278" s="614" t="str">
        <f>VLOOKUP(O278,'Centri di Costo'!$A$2:$B$179,2,FALSE)</f>
        <v xml:space="preserve">Po di Tramontana - Totale Attività Ordinaria </v>
      </c>
      <c r="Q278" s="623" t="s">
        <v>1997</v>
      </c>
      <c r="R278" s="642" t="s">
        <v>312</v>
      </c>
    </row>
    <row r="279" spans="1:18" ht="28.5" customHeight="1" outlineLevel="2">
      <c r="A279" s="85" t="s">
        <v>588</v>
      </c>
      <c r="B279" s="400" t="s">
        <v>1862</v>
      </c>
      <c r="C279" s="85" t="s">
        <v>759</v>
      </c>
      <c r="D279" s="148" t="s">
        <v>7</v>
      </c>
      <c r="E279" s="87">
        <v>2018</v>
      </c>
      <c r="F279" s="88">
        <v>75</v>
      </c>
      <c r="G279" s="120" t="s">
        <v>760</v>
      </c>
      <c r="H279" s="581" t="s">
        <v>1540</v>
      </c>
      <c r="I279" s="601">
        <v>4750</v>
      </c>
      <c r="J279" s="595" t="s">
        <v>9</v>
      </c>
      <c r="K279" s="91">
        <v>1</v>
      </c>
      <c r="L279" s="91">
        <v>3</v>
      </c>
      <c r="M279" s="92">
        <v>51</v>
      </c>
      <c r="N279" s="119" t="str">
        <f>VLOOKUP(M279,'PF Uscite Sp. Corr.'!$C$1:$E$100,2,FALSE)</f>
        <v>Prestazioni professionali e specialistiche</v>
      </c>
      <c r="O279" s="131">
        <v>1410</v>
      </c>
      <c r="P279" s="614" t="str">
        <f>VLOOKUP(O279,'Centri di Costo'!$A$2:$B$179,2,FALSE)</f>
        <v xml:space="preserve">Po di Tramontana - Totale Attività Ordinaria </v>
      </c>
      <c r="Q279" s="619" t="s">
        <v>2029</v>
      </c>
      <c r="R279" s="642" t="s">
        <v>414</v>
      </c>
    </row>
    <row r="280" spans="1:18" ht="28.5" customHeight="1" outlineLevel="2">
      <c r="A280" s="85" t="s">
        <v>588</v>
      </c>
      <c r="B280" s="400" t="s">
        <v>1862</v>
      </c>
      <c r="C280" s="85" t="s">
        <v>759</v>
      </c>
      <c r="D280" s="148" t="s">
        <v>7</v>
      </c>
      <c r="E280" s="87">
        <v>2018</v>
      </c>
      <c r="F280" s="88">
        <v>75</v>
      </c>
      <c r="G280" s="120" t="s">
        <v>760</v>
      </c>
      <c r="H280" s="581" t="s">
        <v>1563</v>
      </c>
      <c r="I280" s="601">
        <v>500</v>
      </c>
      <c r="J280" s="595" t="s">
        <v>9</v>
      </c>
      <c r="K280" s="91">
        <v>1</v>
      </c>
      <c r="L280" s="91">
        <v>3</v>
      </c>
      <c r="M280" s="92">
        <v>51</v>
      </c>
      <c r="N280" s="119" t="str">
        <f>VLOOKUP(M280,'PF Uscite Sp. Corr.'!$C$1:$E$100,2,FALSE)</f>
        <v>Prestazioni professionali e specialistiche</v>
      </c>
      <c r="O280" s="131">
        <v>1410</v>
      </c>
      <c r="P280" s="614" t="str">
        <f>VLOOKUP(O280,'Centri di Costo'!$A$2:$B$179,2,FALSE)</f>
        <v xml:space="preserve">Po di Tramontana - Totale Attività Ordinaria </v>
      </c>
      <c r="Q280" s="623" t="s">
        <v>1996</v>
      </c>
      <c r="R280" s="642" t="s">
        <v>767</v>
      </c>
    </row>
    <row r="281" spans="1:18" ht="28.5" customHeight="1" outlineLevel="2">
      <c r="A281" s="85" t="s">
        <v>588</v>
      </c>
      <c r="B281" s="400" t="s">
        <v>1862</v>
      </c>
      <c r="C281" s="85" t="s">
        <v>759</v>
      </c>
      <c r="D281" s="148" t="s">
        <v>7</v>
      </c>
      <c r="E281" s="87">
        <v>2018</v>
      </c>
      <c r="F281" s="88">
        <v>75</v>
      </c>
      <c r="G281" s="120" t="s">
        <v>760</v>
      </c>
      <c r="H281" s="581" t="s">
        <v>765</v>
      </c>
      <c r="I281" s="601">
        <v>800</v>
      </c>
      <c r="J281" s="595" t="s">
        <v>9</v>
      </c>
      <c r="K281" s="91">
        <v>1</v>
      </c>
      <c r="L281" s="91">
        <v>3</v>
      </c>
      <c r="M281" s="92">
        <v>53</v>
      </c>
      <c r="N281" s="119" t="str">
        <f>VLOOKUP(M281,'PF Uscite Sp. Corr.'!$C$1:$E$100,2,FALSE)</f>
        <v>Servizi ausiliari per il funzionamento dell'ente</v>
      </c>
      <c r="O281" s="131">
        <v>1410</v>
      </c>
      <c r="P281" s="614" t="str">
        <f>VLOOKUP(O281,'Centri di Costo'!$A$2:$B$179,2,FALSE)</f>
        <v xml:space="preserve">Po di Tramontana - Totale Attività Ordinaria </v>
      </c>
      <c r="Q281" s="623" t="s">
        <v>1997</v>
      </c>
      <c r="R281" s="642" t="s">
        <v>766</v>
      </c>
    </row>
    <row r="282" spans="1:18" ht="28.5" customHeight="1" outlineLevel="2">
      <c r="A282" s="85" t="s">
        <v>588</v>
      </c>
      <c r="B282" s="400" t="s">
        <v>1862</v>
      </c>
      <c r="C282" s="85" t="s">
        <v>759</v>
      </c>
      <c r="D282" s="148" t="s">
        <v>7</v>
      </c>
      <c r="E282" s="87">
        <v>2018</v>
      </c>
      <c r="F282" s="88">
        <v>75</v>
      </c>
      <c r="G282" s="120" t="s">
        <v>760</v>
      </c>
      <c r="H282" s="581" t="s">
        <v>249</v>
      </c>
      <c r="I282" s="601">
        <v>900</v>
      </c>
      <c r="J282" s="595" t="s">
        <v>9</v>
      </c>
      <c r="K282" s="91">
        <v>1</v>
      </c>
      <c r="L282" s="91">
        <v>3</v>
      </c>
      <c r="M282" s="92">
        <v>53</v>
      </c>
      <c r="N282" s="119" t="str">
        <f>VLOOKUP(M282,'PF Uscite Sp. Corr.'!$C$1:$E$100,2,FALSE)</f>
        <v>Servizi ausiliari per il funzionamento dell'ente</v>
      </c>
      <c r="O282" s="131">
        <v>1410</v>
      </c>
      <c r="P282" s="614" t="str">
        <f>VLOOKUP(O282,'Centri di Costo'!$A$2:$B$179,2,FALSE)</f>
        <v xml:space="preserve">Po di Tramontana - Totale Attività Ordinaria </v>
      </c>
      <c r="Q282" s="623" t="s">
        <v>1997</v>
      </c>
      <c r="R282" s="642" t="s">
        <v>55</v>
      </c>
    </row>
    <row r="283" spans="1:18" ht="28.5" customHeight="1" outlineLevel="2">
      <c r="A283" s="85" t="s">
        <v>588</v>
      </c>
      <c r="B283" s="400" t="s">
        <v>1862</v>
      </c>
      <c r="C283" s="85" t="s">
        <v>759</v>
      </c>
      <c r="D283" s="148" t="s">
        <v>7</v>
      </c>
      <c r="E283" s="87">
        <v>2018</v>
      </c>
      <c r="F283" s="88">
        <v>75</v>
      </c>
      <c r="G283" s="120" t="s">
        <v>760</v>
      </c>
      <c r="H283" s="581" t="s">
        <v>768</v>
      </c>
      <c r="I283" s="601">
        <v>3000</v>
      </c>
      <c r="J283" s="595" t="s">
        <v>9</v>
      </c>
      <c r="K283" s="91">
        <v>1</v>
      </c>
      <c r="L283" s="91">
        <v>3</v>
      </c>
      <c r="M283" s="92">
        <v>53</v>
      </c>
      <c r="N283" s="119" t="str">
        <f>VLOOKUP(M283,'PF Uscite Sp. Corr.'!$C$1:$E$100,2,FALSE)</f>
        <v>Servizi ausiliari per il funzionamento dell'ente</v>
      </c>
      <c r="O283" s="131">
        <v>1410</v>
      </c>
      <c r="P283" s="614" t="str">
        <f>VLOOKUP(O283,'Centri di Costo'!$A$2:$B$179,2,FALSE)</f>
        <v xml:space="preserve">Po di Tramontana - Totale Attività Ordinaria </v>
      </c>
      <c r="Q283" s="623" t="s">
        <v>1997</v>
      </c>
      <c r="R283" s="642" t="s">
        <v>614</v>
      </c>
    </row>
    <row r="284" spans="1:18" ht="28.5" customHeight="1" outlineLevel="2">
      <c r="A284" s="85" t="s">
        <v>588</v>
      </c>
      <c r="B284" s="400" t="s">
        <v>1862</v>
      </c>
      <c r="C284" s="85" t="s">
        <v>759</v>
      </c>
      <c r="D284" s="148" t="s">
        <v>7</v>
      </c>
      <c r="E284" s="87">
        <v>2018</v>
      </c>
      <c r="F284" s="88">
        <v>75</v>
      </c>
      <c r="G284" s="120" t="s">
        <v>760</v>
      </c>
      <c r="H284" s="581" t="s">
        <v>769</v>
      </c>
      <c r="I284" s="601">
        <v>300</v>
      </c>
      <c r="J284" s="595" t="s">
        <v>9</v>
      </c>
      <c r="K284" s="91">
        <v>1</v>
      </c>
      <c r="L284" s="91">
        <v>3</v>
      </c>
      <c r="M284" s="92">
        <v>53</v>
      </c>
      <c r="N284" s="119" t="str">
        <f>VLOOKUP(M284,'PF Uscite Sp. Corr.'!$C$1:$E$100,2,FALSE)</f>
        <v>Servizi ausiliari per il funzionamento dell'ente</v>
      </c>
      <c r="O284" s="131">
        <v>1410</v>
      </c>
      <c r="P284" s="614" t="str">
        <f>VLOOKUP(O284,'Centri di Costo'!$A$2:$B$179,2,FALSE)</f>
        <v xml:space="preserve">Po di Tramontana - Totale Attività Ordinaria </v>
      </c>
      <c r="Q284" s="623" t="s">
        <v>1997</v>
      </c>
      <c r="R284" s="642" t="s">
        <v>770</v>
      </c>
    </row>
    <row r="285" spans="1:18" ht="28.5" customHeight="1" outlineLevel="2">
      <c r="A285" s="85" t="s">
        <v>588</v>
      </c>
      <c r="B285" s="400" t="s">
        <v>1862</v>
      </c>
      <c r="C285" s="85" t="s">
        <v>759</v>
      </c>
      <c r="D285" s="148" t="s">
        <v>7</v>
      </c>
      <c r="E285" s="87">
        <v>2018</v>
      </c>
      <c r="F285" s="88">
        <v>75</v>
      </c>
      <c r="G285" s="120" t="s">
        <v>760</v>
      </c>
      <c r="H285" s="581" t="s">
        <v>771</v>
      </c>
      <c r="I285" s="601">
        <v>3000</v>
      </c>
      <c r="J285" s="595" t="s">
        <v>9</v>
      </c>
      <c r="K285" s="91">
        <v>1</v>
      </c>
      <c r="L285" s="91">
        <v>3</v>
      </c>
      <c r="M285" s="92">
        <v>53</v>
      </c>
      <c r="N285" s="119" t="str">
        <f>VLOOKUP(M285,'PF Uscite Sp. Corr.'!$C$1:$E$100,2,FALSE)</f>
        <v>Servizi ausiliari per il funzionamento dell'ente</v>
      </c>
      <c r="O285" s="131">
        <v>1410</v>
      </c>
      <c r="P285" s="614" t="str">
        <f>VLOOKUP(O285,'Centri di Costo'!$A$2:$B$179,2,FALSE)</f>
        <v xml:space="preserve">Po di Tramontana - Totale Attività Ordinaria </v>
      </c>
      <c r="Q285" s="623" t="s">
        <v>1997</v>
      </c>
      <c r="R285" s="642" t="s">
        <v>479</v>
      </c>
    </row>
    <row r="286" spans="1:18" ht="28.5" customHeight="1" outlineLevel="2">
      <c r="A286" s="85" t="s">
        <v>588</v>
      </c>
      <c r="B286" s="400" t="s">
        <v>1862</v>
      </c>
      <c r="C286" s="85" t="s">
        <v>759</v>
      </c>
      <c r="D286" s="148" t="s">
        <v>7</v>
      </c>
      <c r="E286" s="87">
        <v>2018</v>
      </c>
      <c r="F286" s="88">
        <v>78</v>
      </c>
      <c r="G286" s="120" t="s">
        <v>804</v>
      </c>
      <c r="H286" s="581" t="s">
        <v>816</v>
      </c>
      <c r="I286" s="601">
        <v>3000</v>
      </c>
      <c r="J286" s="595" t="s">
        <v>9</v>
      </c>
      <c r="K286" s="91">
        <v>1</v>
      </c>
      <c r="L286" s="91">
        <v>3</v>
      </c>
      <c r="M286" s="92">
        <v>53</v>
      </c>
      <c r="N286" s="119" t="str">
        <f>VLOOKUP(M286,'PF Uscite Sp. Corr.'!$C$1:$E$100,2,FALSE)</f>
        <v>Servizi ausiliari per il funzionamento dell'ente</v>
      </c>
      <c r="O286" s="131">
        <v>1410</v>
      </c>
      <c r="P286" s="614" t="str">
        <f>VLOOKUP(O286,'Centri di Costo'!$A$2:$B$179,2,FALSE)</f>
        <v xml:space="preserve">Po di Tramontana - Totale Attività Ordinaria </v>
      </c>
      <c r="Q286" s="623" t="s">
        <v>1997</v>
      </c>
      <c r="R286" s="642" t="s">
        <v>614</v>
      </c>
    </row>
    <row r="287" spans="1:18" ht="28.5" customHeight="1" outlineLevel="2">
      <c r="A287" s="85" t="s">
        <v>588</v>
      </c>
      <c r="B287" s="400" t="s">
        <v>1862</v>
      </c>
      <c r="C287" s="85" t="s">
        <v>759</v>
      </c>
      <c r="D287" s="148" t="s">
        <v>7</v>
      </c>
      <c r="E287" s="87">
        <v>2018</v>
      </c>
      <c r="F287" s="88">
        <v>78</v>
      </c>
      <c r="G287" s="120" t="s">
        <v>804</v>
      </c>
      <c r="H287" s="581" t="s">
        <v>817</v>
      </c>
      <c r="I287" s="601">
        <v>1000</v>
      </c>
      <c r="J287" s="595" t="s">
        <v>9</v>
      </c>
      <c r="K287" s="91">
        <v>1</v>
      </c>
      <c r="L287" s="91">
        <v>3</v>
      </c>
      <c r="M287" s="92">
        <v>53</v>
      </c>
      <c r="N287" s="119" t="str">
        <f>VLOOKUP(M287,'PF Uscite Sp. Corr.'!$C$1:$E$100,2,FALSE)</f>
        <v>Servizi ausiliari per il funzionamento dell'ente</v>
      </c>
      <c r="O287" s="131">
        <v>1410</v>
      </c>
      <c r="P287" s="614" t="str">
        <f>VLOOKUP(O287,'Centri di Costo'!$A$2:$B$179,2,FALSE)</f>
        <v xml:space="preserve">Po di Tramontana - Totale Attività Ordinaria </v>
      </c>
      <c r="Q287" s="623" t="s">
        <v>1997</v>
      </c>
      <c r="R287" s="642" t="s">
        <v>454</v>
      </c>
    </row>
    <row r="288" spans="1:18" ht="28.5" customHeight="1" outlineLevel="2">
      <c r="A288" s="85" t="s">
        <v>89</v>
      </c>
      <c r="B288" s="400" t="s">
        <v>1862</v>
      </c>
      <c r="C288" s="85" t="s">
        <v>233</v>
      </c>
      <c r="D288" s="148" t="s">
        <v>7</v>
      </c>
      <c r="E288" s="87">
        <v>2018</v>
      </c>
      <c r="F288" s="88">
        <v>274</v>
      </c>
      <c r="G288" s="120" t="s">
        <v>237</v>
      </c>
      <c r="H288" s="581" t="s">
        <v>1053</v>
      </c>
      <c r="I288" s="601">
        <v>1400</v>
      </c>
      <c r="J288" s="595" t="s">
        <v>9</v>
      </c>
      <c r="K288" s="91">
        <v>1</v>
      </c>
      <c r="L288" s="91">
        <v>3</v>
      </c>
      <c r="M288" s="92">
        <v>55</v>
      </c>
      <c r="N288" s="119" t="str">
        <f>VLOOKUP(M288,'PF Uscite Sp. Corr.'!$C$1:$E$100,2,FALSE)</f>
        <v>Altri servizi</v>
      </c>
      <c r="O288" s="131">
        <v>1410</v>
      </c>
      <c r="P288" s="614" t="str">
        <f>VLOOKUP(O288,'Centri di Costo'!$A$2:$B$179,2,FALSE)</f>
        <v xml:space="preserve">Po di Tramontana - Totale Attività Ordinaria </v>
      </c>
      <c r="Q288" s="623" t="s">
        <v>1997</v>
      </c>
      <c r="R288" s="642" t="s">
        <v>239</v>
      </c>
    </row>
    <row r="289" spans="1:18" ht="28.5" customHeight="1" outlineLevel="2">
      <c r="A289" s="85" t="s">
        <v>588</v>
      </c>
      <c r="B289" s="400" t="s">
        <v>1862</v>
      </c>
      <c r="C289" s="85" t="s">
        <v>759</v>
      </c>
      <c r="D289" s="148" t="s">
        <v>7</v>
      </c>
      <c r="E289" s="87">
        <v>2018</v>
      </c>
      <c r="F289" s="88">
        <v>75</v>
      </c>
      <c r="G289" s="120" t="s">
        <v>760</v>
      </c>
      <c r="H289" s="581" t="s">
        <v>761</v>
      </c>
      <c r="I289" s="601">
        <v>500</v>
      </c>
      <c r="J289" s="595" t="s">
        <v>9</v>
      </c>
      <c r="K289" s="91">
        <v>1</v>
      </c>
      <c r="L289" s="91">
        <v>3</v>
      </c>
      <c r="M289" s="92">
        <v>56</v>
      </c>
      <c r="N289" s="119" t="str">
        <f>VLOOKUP(M289,'PF Uscite Sp. Corr.'!$C$1:$E$100,2,FALSE)</f>
        <v>Servizi amministrativi</v>
      </c>
      <c r="O289" s="131">
        <v>1410</v>
      </c>
      <c r="P289" s="614" t="str">
        <f>VLOOKUP(O289,'Centri di Costo'!$A$2:$B$179,2,FALSE)</f>
        <v xml:space="preserve">Po di Tramontana - Totale Attività Ordinaria </v>
      </c>
      <c r="Q289" s="623" t="s">
        <v>1997</v>
      </c>
      <c r="R289" s="642" t="s">
        <v>173</v>
      </c>
    </row>
    <row r="290" spans="1:18" ht="28.5" customHeight="1" outlineLevel="2">
      <c r="A290" s="85" t="s">
        <v>588</v>
      </c>
      <c r="B290" s="400" t="s">
        <v>1862</v>
      </c>
      <c r="C290" s="85" t="s">
        <v>759</v>
      </c>
      <c r="D290" s="148" t="s">
        <v>7</v>
      </c>
      <c r="E290" s="87">
        <v>2018</v>
      </c>
      <c r="F290" s="88">
        <v>75</v>
      </c>
      <c r="G290" s="120" t="s">
        <v>760</v>
      </c>
      <c r="H290" s="581" t="s">
        <v>772</v>
      </c>
      <c r="I290" s="601">
        <v>150</v>
      </c>
      <c r="J290" s="595" t="s">
        <v>9</v>
      </c>
      <c r="K290" s="91">
        <v>1</v>
      </c>
      <c r="L290" s="91">
        <v>3</v>
      </c>
      <c r="M290" s="92">
        <v>57</v>
      </c>
      <c r="N290" s="119" t="str">
        <f>VLOOKUP(M290,'PF Uscite Sp. Corr.'!$C$1:$E$100,2,FALSE)</f>
        <v>Servizi finanziari</v>
      </c>
      <c r="O290" s="131">
        <v>1410</v>
      </c>
      <c r="P290" s="614" t="str">
        <f>VLOOKUP(O290,'Centri di Costo'!$A$2:$B$179,2,FALSE)</f>
        <v xml:space="preserve">Po di Tramontana - Totale Attività Ordinaria </v>
      </c>
      <c r="Q290" s="623" t="s">
        <v>1997</v>
      </c>
      <c r="R290" s="642" t="s">
        <v>251</v>
      </c>
    </row>
    <row r="291" spans="1:18" ht="28.5" customHeight="1" outlineLevel="2">
      <c r="A291" s="85" t="s">
        <v>89</v>
      </c>
      <c r="B291" s="400" t="s">
        <v>1862</v>
      </c>
      <c r="C291" s="85" t="s">
        <v>150</v>
      </c>
      <c r="D291" s="148" t="s">
        <v>7</v>
      </c>
      <c r="E291" s="87">
        <v>2018</v>
      </c>
      <c r="F291" s="88">
        <v>133</v>
      </c>
      <c r="G291" s="120" t="s">
        <v>200</v>
      </c>
      <c r="H291" s="581" t="s">
        <v>210</v>
      </c>
      <c r="I291" s="601">
        <v>1500</v>
      </c>
      <c r="J291" s="595" t="s">
        <v>9</v>
      </c>
      <c r="K291" s="91">
        <v>1</v>
      </c>
      <c r="L291" s="91">
        <v>3</v>
      </c>
      <c r="M291" s="92">
        <v>59</v>
      </c>
      <c r="N291" s="119" t="str">
        <f>VLOOKUP(M291,'PF Uscite Sp. Corr.'!$C$1:$E$100,2,FALSE)</f>
        <v>Servizi informatici e di telecomunicazioni</v>
      </c>
      <c r="O291" s="131">
        <v>1410</v>
      </c>
      <c r="P291" s="614" t="str">
        <f>VLOOKUP(O291,'Centri di Costo'!$A$2:$B$179,2,FALSE)</f>
        <v xml:space="preserve">Po di Tramontana - Totale Attività Ordinaria </v>
      </c>
      <c r="Q291" s="624" t="s">
        <v>2014</v>
      </c>
      <c r="R291" s="642" t="s">
        <v>202</v>
      </c>
    </row>
    <row r="292" spans="1:18" ht="28.5" customHeight="1" outlineLevel="2">
      <c r="A292" s="85" t="s">
        <v>588</v>
      </c>
      <c r="B292" s="400" t="s">
        <v>1862</v>
      </c>
      <c r="C292" s="85" t="s">
        <v>759</v>
      </c>
      <c r="D292" s="148" t="s">
        <v>7</v>
      </c>
      <c r="E292" s="87">
        <v>2018</v>
      </c>
      <c r="F292" s="88">
        <v>75</v>
      </c>
      <c r="G292" s="120" t="s">
        <v>760</v>
      </c>
      <c r="H292" s="581" t="s">
        <v>763</v>
      </c>
      <c r="I292" s="601">
        <v>4400</v>
      </c>
      <c r="J292" s="595" t="s">
        <v>9</v>
      </c>
      <c r="K292" s="91">
        <v>1</v>
      </c>
      <c r="L292" s="91">
        <v>10</v>
      </c>
      <c r="M292" s="92">
        <v>86</v>
      </c>
      <c r="N292" s="119" t="str">
        <f>VLOOKUP(M292,'PF Uscite Sp. Corr.'!$C$1:$E$100,2,FALSE)</f>
        <v>Premi di assicurazione contro i danni</v>
      </c>
      <c r="O292" s="131">
        <v>1410</v>
      </c>
      <c r="P292" s="614" t="str">
        <f>VLOOKUP(O292,'Centri di Costo'!$A$2:$B$179,2,FALSE)</f>
        <v xml:space="preserve">Po di Tramontana - Totale Attività Ordinaria </v>
      </c>
      <c r="Q292" s="624" t="s">
        <v>2014</v>
      </c>
      <c r="R292" s="642" t="s">
        <v>59</v>
      </c>
    </row>
    <row r="293" spans="1:18" s="139" customFormat="1" ht="28.5" customHeight="1" outlineLevel="2">
      <c r="A293" s="115" t="s">
        <v>588</v>
      </c>
      <c r="B293" s="401" t="s">
        <v>1862</v>
      </c>
      <c r="C293" s="115" t="s">
        <v>759</v>
      </c>
      <c r="D293" s="417" t="s">
        <v>7</v>
      </c>
      <c r="E293" s="412">
        <v>2018</v>
      </c>
      <c r="F293" s="413">
        <v>75</v>
      </c>
      <c r="G293" s="123" t="s">
        <v>760</v>
      </c>
      <c r="H293" s="583" t="s">
        <v>764</v>
      </c>
      <c r="I293" s="603">
        <v>4520</v>
      </c>
      <c r="J293" s="596" t="s">
        <v>9</v>
      </c>
      <c r="K293" s="216">
        <v>1</v>
      </c>
      <c r="L293" s="216">
        <v>10</v>
      </c>
      <c r="M293" s="418">
        <v>86</v>
      </c>
      <c r="N293" s="118" t="str">
        <f>VLOOKUP(M293,'PF Uscite Sp. Corr.'!$C$1:$E$100,2,FALSE)</f>
        <v>Premi di assicurazione contro i danni</v>
      </c>
      <c r="O293" s="419">
        <v>1410</v>
      </c>
      <c r="P293" s="615" t="str">
        <f>VLOOKUP(O293,'Centri di Costo'!$A$2:$B$179,2,FALSE)</f>
        <v xml:space="preserve">Po di Tramontana - Totale Attività Ordinaria </v>
      </c>
      <c r="Q293" s="624" t="s">
        <v>2014</v>
      </c>
      <c r="R293" s="648" t="s">
        <v>56</v>
      </c>
    </row>
    <row r="294" spans="1:18" s="215" customFormat="1" ht="20.25" customHeight="1" outlineLevel="1" collapsed="1">
      <c r="A294" s="160"/>
      <c r="B294" s="433" t="s">
        <v>1897</v>
      </c>
      <c r="C294" s="161"/>
      <c r="D294" s="437"/>
      <c r="E294" s="438"/>
      <c r="F294" s="438"/>
      <c r="G294" s="441" t="s">
        <v>1938</v>
      </c>
      <c r="H294" s="214" t="s">
        <v>1943</v>
      </c>
      <c r="I294" s="605">
        <f>SUBTOTAL(9,I219:I293)</f>
        <v>759930</v>
      </c>
      <c r="J294" s="212"/>
      <c r="K294" s="179"/>
      <c r="L294" s="179"/>
      <c r="M294" s="213"/>
      <c r="N294" s="434"/>
      <c r="O294" s="439"/>
      <c r="P294" s="435"/>
      <c r="Q294" s="620"/>
      <c r="R294" s="645"/>
    </row>
    <row r="295" spans="1:18" ht="28.5" customHeight="1" outlineLevel="2">
      <c r="A295" s="94" t="s">
        <v>588</v>
      </c>
      <c r="B295" s="402" t="s">
        <v>1863</v>
      </c>
      <c r="C295" s="94" t="s">
        <v>759</v>
      </c>
      <c r="D295" s="149" t="s">
        <v>7</v>
      </c>
      <c r="E295" s="101">
        <v>2018</v>
      </c>
      <c r="F295" s="102">
        <v>60</v>
      </c>
      <c r="G295" s="121" t="s">
        <v>823</v>
      </c>
      <c r="H295" s="580" t="s">
        <v>861</v>
      </c>
      <c r="I295" s="600">
        <v>112000</v>
      </c>
      <c r="J295" s="594" t="s">
        <v>9</v>
      </c>
      <c r="K295" s="99">
        <v>1</v>
      </c>
      <c r="L295" s="99">
        <v>1</v>
      </c>
      <c r="M295" s="209" t="s">
        <v>1532</v>
      </c>
      <c r="N295" s="577" t="str">
        <f>VLOOKUP(M295,'PF Uscite Sp. Corr.'!$C$1:$E$100,2,FALSE)</f>
        <v>Salari, Oneri Sociali, Acc. TFR, Buoni Pasto (e IRAP su retribuz. se dovuta) OTI</v>
      </c>
      <c r="O295" s="132">
        <v>1420</v>
      </c>
      <c r="P295" s="613" t="str">
        <f>VLOOKUP(O295,'Centri di Costo'!$A$2:$B$179,2,FALSE)</f>
        <v xml:space="preserve">Pradon - Totale Attività Ordinaria </v>
      </c>
      <c r="Q295" s="621" t="s">
        <v>1998</v>
      </c>
      <c r="R295" s="639" t="s">
        <v>427</v>
      </c>
    </row>
    <row r="296" spans="1:18" ht="28.5" customHeight="1" outlineLevel="2">
      <c r="A296" s="85" t="s">
        <v>588</v>
      </c>
      <c r="B296" s="400" t="s">
        <v>1863</v>
      </c>
      <c r="C296" s="85" t="s">
        <v>759</v>
      </c>
      <c r="D296" s="148" t="s">
        <v>7</v>
      </c>
      <c r="E296" s="87">
        <v>2018</v>
      </c>
      <c r="F296" s="88">
        <v>61</v>
      </c>
      <c r="G296" s="120" t="s">
        <v>857</v>
      </c>
      <c r="H296" s="581" t="s">
        <v>861</v>
      </c>
      <c r="I296" s="601">
        <v>5500</v>
      </c>
      <c r="J296" s="595" t="s">
        <v>9</v>
      </c>
      <c r="K296" s="91">
        <v>1</v>
      </c>
      <c r="L296" s="91">
        <v>1</v>
      </c>
      <c r="M296" s="519" t="s">
        <v>1532</v>
      </c>
      <c r="N296" s="578" t="str">
        <f>VLOOKUP(M296,'PF Uscite Sp. Corr.'!$C$1:$E$100,2,FALSE)</f>
        <v>Salari, Oneri Sociali, Acc. TFR, Buoni Pasto (e IRAP su retribuz. se dovuta) OTI</v>
      </c>
      <c r="O296" s="131">
        <v>1420</v>
      </c>
      <c r="P296" s="614" t="str">
        <f>VLOOKUP(O296,'Centri di Costo'!$A$2:$B$179,2,FALSE)</f>
        <v xml:space="preserve">Pradon - Totale Attività Ordinaria </v>
      </c>
      <c r="Q296" s="621" t="s">
        <v>1998</v>
      </c>
      <c r="R296" s="642" t="s">
        <v>427</v>
      </c>
    </row>
    <row r="297" spans="1:18" ht="28.5" customHeight="1" outlineLevel="2">
      <c r="A297" s="85" t="s">
        <v>588</v>
      </c>
      <c r="B297" s="400" t="s">
        <v>1863</v>
      </c>
      <c r="C297" s="85" t="s">
        <v>759</v>
      </c>
      <c r="D297" s="148" t="s">
        <v>7</v>
      </c>
      <c r="E297" s="87">
        <v>2018</v>
      </c>
      <c r="F297" s="88">
        <v>62</v>
      </c>
      <c r="G297" s="120" t="s">
        <v>859</v>
      </c>
      <c r="H297" s="581" t="s">
        <v>861</v>
      </c>
      <c r="I297" s="601">
        <v>9000</v>
      </c>
      <c r="J297" s="595" t="s">
        <v>9</v>
      </c>
      <c r="K297" s="91">
        <v>1</v>
      </c>
      <c r="L297" s="91">
        <v>1</v>
      </c>
      <c r="M297" s="519" t="s">
        <v>1532</v>
      </c>
      <c r="N297" s="578" t="str">
        <f>VLOOKUP(M297,'PF Uscite Sp. Corr.'!$C$1:$E$100,2,FALSE)</f>
        <v>Salari, Oneri Sociali, Acc. TFR, Buoni Pasto (e IRAP su retribuz. se dovuta) OTI</v>
      </c>
      <c r="O297" s="131">
        <v>1420</v>
      </c>
      <c r="P297" s="614" t="str">
        <f>VLOOKUP(O297,'Centri di Costo'!$A$2:$B$179,2,FALSE)</f>
        <v xml:space="preserve">Pradon - Totale Attività Ordinaria </v>
      </c>
      <c r="Q297" s="621" t="s">
        <v>1998</v>
      </c>
      <c r="R297" s="642" t="s">
        <v>427</v>
      </c>
    </row>
    <row r="298" spans="1:18" ht="28.5" customHeight="1" outlineLevel="2">
      <c r="A298" s="85" t="s">
        <v>588</v>
      </c>
      <c r="B298" s="400" t="s">
        <v>1863</v>
      </c>
      <c r="C298" s="85" t="s">
        <v>759</v>
      </c>
      <c r="D298" s="148" t="s">
        <v>7</v>
      </c>
      <c r="E298" s="87">
        <v>2018</v>
      </c>
      <c r="F298" s="88">
        <v>63</v>
      </c>
      <c r="G298" s="120" t="s">
        <v>862</v>
      </c>
      <c r="H298" s="581" t="s">
        <v>861</v>
      </c>
      <c r="I298" s="601">
        <v>9000</v>
      </c>
      <c r="J298" s="595" t="s">
        <v>9</v>
      </c>
      <c r="K298" s="91">
        <v>1</v>
      </c>
      <c r="L298" s="91">
        <v>1</v>
      </c>
      <c r="M298" s="519" t="s">
        <v>1532</v>
      </c>
      <c r="N298" s="578" t="str">
        <f>VLOOKUP(M298,'PF Uscite Sp. Corr.'!$C$1:$E$100,2,FALSE)</f>
        <v>Salari, Oneri Sociali, Acc. TFR, Buoni Pasto (e IRAP su retribuz. se dovuta) OTI</v>
      </c>
      <c r="O298" s="131">
        <v>1420</v>
      </c>
      <c r="P298" s="614" t="str">
        <f>VLOOKUP(O298,'Centri di Costo'!$A$2:$B$179,2,FALSE)</f>
        <v xml:space="preserve">Pradon - Totale Attività Ordinaria </v>
      </c>
      <c r="Q298" s="621" t="s">
        <v>1998</v>
      </c>
      <c r="R298" s="642" t="s">
        <v>427</v>
      </c>
    </row>
    <row r="299" spans="1:18" ht="28.5" customHeight="1" outlineLevel="2">
      <c r="A299" s="85" t="s">
        <v>588</v>
      </c>
      <c r="B299" s="400" t="s">
        <v>1863</v>
      </c>
      <c r="C299" s="85" t="s">
        <v>759</v>
      </c>
      <c r="D299" s="148" t="s">
        <v>7</v>
      </c>
      <c r="E299" s="87">
        <v>2018</v>
      </c>
      <c r="F299" s="88">
        <v>64</v>
      </c>
      <c r="G299" s="120" t="s">
        <v>863</v>
      </c>
      <c r="H299" s="581" t="s">
        <v>861</v>
      </c>
      <c r="I299" s="601">
        <v>8000</v>
      </c>
      <c r="J299" s="595" t="s">
        <v>9</v>
      </c>
      <c r="K299" s="91">
        <v>1</v>
      </c>
      <c r="L299" s="91">
        <v>1</v>
      </c>
      <c r="M299" s="519" t="s">
        <v>1532</v>
      </c>
      <c r="N299" s="578" t="str">
        <f>VLOOKUP(M299,'PF Uscite Sp. Corr.'!$C$1:$E$100,2,FALSE)</f>
        <v>Salari, Oneri Sociali, Acc. TFR, Buoni Pasto (e IRAP su retribuz. se dovuta) OTI</v>
      </c>
      <c r="O299" s="131">
        <v>1420</v>
      </c>
      <c r="P299" s="614" t="str">
        <f>VLOOKUP(O299,'Centri di Costo'!$A$2:$B$179,2,FALSE)</f>
        <v xml:space="preserve">Pradon - Totale Attività Ordinaria </v>
      </c>
      <c r="Q299" s="621" t="s">
        <v>1998</v>
      </c>
      <c r="R299" s="642" t="s">
        <v>427</v>
      </c>
    </row>
    <row r="300" spans="1:18" ht="28.5" customHeight="1" outlineLevel="2">
      <c r="A300" s="85" t="s">
        <v>588</v>
      </c>
      <c r="B300" s="400" t="s">
        <v>1863</v>
      </c>
      <c r="C300" s="85" t="s">
        <v>759</v>
      </c>
      <c r="D300" s="148" t="s">
        <v>7</v>
      </c>
      <c r="E300" s="87">
        <v>2018</v>
      </c>
      <c r="F300" s="88">
        <v>65</v>
      </c>
      <c r="G300" s="120" t="s">
        <v>864</v>
      </c>
      <c r="H300" s="581" t="s">
        <v>861</v>
      </c>
      <c r="I300" s="601">
        <v>1500</v>
      </c>
      <c r="J300" s="595" t="s">
        <v>9</v>
      </c>
      <c r="K300" s="91">
        <v>1</v>
      </c>
      <c r="L300" s="91">
        <v>1</v>
      </c>
      <c r="M300" s="519" t="s">
        <v>1532</v>
      </c>
      <c r="N300" s="578" t="str">
        <f>VLOOKUP(M300,'PF Uscite Sp. Corr.'!$C$1:$E$100,2,FALSE)</f>
        <v>Salari, Oneri Sociali, Acc. TFR, Buoni Pasto (e IRAP su retribuz. se dovuta) OTI</v>
      </c>
      <c r="O300" s="131">
        <v>1420</v>
      </c>
      <c r="P300" s="614" t="str">
        <f>VLOOKUP(O300,'Centri di Costo'!$A$2:$B$179,2,FALSE)</f>
        <v xml:space="preserve">Pradon - Totale Attività Ordinaria </v>
      </c>
      <c r="Q300" s="621" t="s">
        <v>1998</v>
      </c>
      <c r="R300" s="642" t="s">
        <v>427</v>
      </c>
    </row>
    <row r="301" spans="1:18" ht="28.5" customHeight="1" outlineLevel="2">
      <c r="A301" s="85" t="s">
        <v>588</v>
      </c>
      <c r="B301" s="400" t="s">
        <v>1863</v>
      </c>
      <c r="C301" s="85" t="s">
        <v>759</v>
      </c>
      <c r="D301" s="148" t="s">
        <v>7</v>
      </c>
      <c r="E301" s="87">
        <v>2018</v>
      </c>
      <c r="F301" s="88">
        <v>206</v>
      </c>
      <c r="G301" s="120" t="s">
        <v>865</v>
      </c>
      <c r="H301" s="581" t="s">
        <v>861</v>
      </c>
      <c r="I301" s="601">
        <v>3500</v>
      </c>
      <c r="J301" s="595" t="s">
        <v>9</v>
      </c>
      <c r="K301" s="91">
        <v>1</v>
      </c>
      <c r="L301" s="91">
        <v>1</v>
      </c>
      <c r="M301" s="519" t="s">
        <v>1532</v>
      </c>
      <c r="N301" s="578" t="str">
        <f>VLOOKUP(M301,'PF Uscite Sp. Corr.'!$C$1:$E$100,2,FALSE)</f>
        <v>Salari, Oneri Sociali, Acc. TFR, Buoni Pasto (e IRAP su retribuz. se dovuta) OTI</v>
      </c>
      <c r="O301" s="131">
        <v>1420</v>
      </c>
      <c r="P301" s="614" t="str">
        <f>VLOOKUP(O301,'Centri di Costo'!$A$2:$B$179,2,FALSE)</f>
        <v xml:space="preserve">Pradon - Totale Attività Ordinaria </v>
      </c>
      <c r="Q301" s="621" t="s">
        <v>1998</v>
      </c>
      <c r="R301" s="642" t="s">
        <v>427</v>
      </c>
    </row>
    <row r="302" spans="1:18" ht="28.5" customHeight="1" outlineLevel="2">
      <c r="A302" s="94" t="s">
        <v>588</v>
      </c>
      <c r="B302" s="400" t="s">
        <v>1863</v>
      </c>
      <c r="C302" s="94" t="s">
        <v>759</v>
      </c>
      <c r="D302" s="149" t="s">
        <v>7</v>
      </c>
      <c r="E302" s="101">
        <v>2018</v>
      </c>
      <c r="F302" s="102">
        <v>60</v>
      </c>
      <c r="G302" s="121" t="s">
        <v>823</v>
      </c>
      <c r="H302" s="580" t="s">
        <v>1094</v>
      </c>
      <c r="I302" s="600">
        <v>76000</v>
      </c>
      <c r="J302" s="594" t="s">
        <v>9</v>
      </c>
      <c r="K302" s="99">
        <v>1</v>
      </c>
      <c r="L302" s="99">
        <v>1</v>
      </c>
      <c r="M302" s="517" t="s">
        <v>1530</v>
      </c>
      <c r="N302" s="577" t="str">
        <f>VLOOKUP(M302,'PF Uscite Sp. Corr.'!$C$1:$E$100,2,FALSE)</f>
        <v>Salari, Oneri Sociali, Acc. TFR, Buoni Pasto (e IRAP su retribuz. se dovuta) OTD</v>
      </c>
      <c r="O302" s="132">
        <v>1420</v>
      </c>
      <c r="P302" s="613" t="str">
        <f>VLOOKUP(O302,'Centri di Costo'!$A$2:$B$179,2,FALSE)</f>
        <v xml:space="preserve">Pradon - Totale Attività Ordinaria </v>
      </c>
      <c r="Q302" s="621" t="s">
        <v>1998</v>
      </c>
      <c r="R302" s="639" t="s">
        <v>484</v>
      </c>
    </row>
    <row r="303" spans="1:18" ht="28.5" customHeight="1" outlineLevel="2">
      <c r="A303" s="85" t="s">
        <v>588</v>
      </c>
      <c r="B303" s="400" t="s">
        <v>1863</v>
      </c>
      <c r="C303" s="85" t="s">
        <v>759</v>
      </c>
      <c r="D303" s="148" t="s">
        <v>7</v>
      </c>
      <c r="E303" s="87">
        <v>2018</v>
      </c>
      <c r="F303" s="88">
        <v>61</v>
      </c>
      <c r="G303" s="120" t="s">
        <v>857</v>
      </c>
      <c r="H303" s="581" t="s">
        <v>1094</v>
      </c>
      <c r="I303" s="601">
        <v>12000</v>
      </c>
      <c r="J303" s="595" t="s">
        <v>9</v>
      </c>
      <c r="K303" s="91">
        <v>1</v>
      </c>
      <c r="L303" s="91">
        <v>1</v>
      </c>
      <c r="M303" s="232" t="s">
        <v>1530</v>
      </c>
      <c r="N303" s="578" t="str">
        <f>VLOOKUP(M303,'PF Uscite Sp. Corr.'!$C$1:$E$100,2,FALSE)</f>
        <v>Salari, Oneri Sociali, Acc. TFR, Buoni Pasto (e IRAP su retribuz. se dovuta) OTD</v>
      </c>
      <c r="O303" s="131">
        <v>1420</v>
      </c>
      <c r="P303" s="614" t="str">
        <f>VLOOKUP(O303,'Centri di Costo'!$A$2:$B$179,2,FALSE)</f>
        <v xml:space="preserve">Pradon - Totale Attività Ordinaria </v>
      </c>
      <c r="Q303" s="621" t="s">
        <v>1998</v>
      </c>
      <c r="R303" s="642" t="s">
        <v>484</v>
      </c>
    </row>
    <row r="304" spans="1:18" ht="28.5" customHeight="1" outlineLevel="2">
      <c r="A304" s="85" t="s">
        <v>588</v>
      </c>
      <c r="B304" s="400" t="s">
        <v>1863</v>
      </c>
      <c r="C304" s="85" t="s">
        <v>759</v>
      </c>
      <c r="D304" s="148" t="s">
        <v>7</v>
      </c>
      <c r="E304" s="87">
        <v>2018</v>
      </c>
      <c r="F304" s="88">
        <v>62</v>
      </c>
      <c r="G304" s="120" t="s">
        <v>859</v>
      </c>
      <c r="H304" s="581" t="s">
        <v>1094</v>
      </c>
      <c r="I304" s="601">
        <v>18000</v>
      </c>
      <c r="J304" s="595" t="s">
        <v>9</v>
      </c>
      <c r="K304" s="91">
        <v>1</v>
      </c>
      <c r="L304" s="91">
        <v>1</v>
      </c>
      <c r="M304" s="232" t="s">
        <v>1530</v>
      </c>
      <c r="N304" s="578" t="str">
        <f>VLOOKUP(M304,'PF Uscite Sp. Corr.'!$C$1:$E$100,2,FALSE)</f>
        <v>Salari, Oneri Sociali, Acc. TFR, Buoni Pasto (e IRAP su retribuz. se dovuta) OTD</v>
      </c>
      <c r="O304" s="131">
        <v>1420</v>
      </c>
      <c r="P304" s="614" t="str">
        <f>VLOOKUP(O304,'Centri di Costo'!$A$2:$B$179,2,FALSE)</f>
        <v xml:space="preserve">Pradon - Totale Attività Ordinaria </v>
      </c>
      <c r="Q304" s="621" t="s">
        <v>1998</v>
      </c>
      <c r="R304" s="642" t="s">
        <v>484</v>
      </c>
    </row>
    <row r="305" spans="1:18" ht="28.5" customHeight="1" outlineLevel="2">
      <c r="A305" s="85" t="s">
        <v>588</v>
      </c>
      <c r="B305" s="400" t="s">
        <v>1863</v>
      </c>
      <c r="C305" s="85" t="s">
        <v>759</v>
      </c>
      <c r="D305" s="148" t="s">
        <v>7</v>
      </c>
      <c r="E305" s="87">
        <v>2018</v>
      </c>
      <c r="F305" s="88">
        <v>63</v>
      </c>
      <c r="G305" s="120" t="s">
        <v>862</v>
      </c>
      <c r="H305" s="581" t="s">
        <v>1094</v>
      </c>
      <c r="I305" s="601">
        <v>9000</v>
      </c>
      <c r="J305" s="595" t="s">
        <v>9</v>
      </c>
      <c r="K305" s="91">
        <v>1</v>
      </c>
      <c r="L305" s="91">
        <v>1</v>
      </c>
      <c r="M305" s="232" t="s">
        <v>1530</v>
      </c>
      <c r="N305" s="578" t="str">
        <f>VLOOKUP(M305,'PF Uscite Sp. Corr.'!$C$1:$E$100,2,FALSE)</f>
        <v>Salari, Oneri Sociali, Acc. TFR, Buoni Pasto (e IRAP su retribuz. se dovuta) OTD</v>
      </c>
      <c r="O305" s="131">
        <v>1420</v>
      </c>
      <c r="P305" s="614" t="str">
        <f>VLOOKUP(O305,'Centri di Costo'!$A$2:$B$179,2,FALSE)</f>
        <v xml:space="preserve">Pradon - Totale Attività Ordinaria </v>
      </c>
      <c r="Q305" s="621" t="s">
        <v>1998</v>
      </c>
      <c r="R305" s="642" t="s">
        <v>484</v>
      </c>
    </row>
    <row r="306" spans="1:18" ht="28.5" customHeight="1" outlineLevel="2">
      <c r="A306" s="85" t="s">
        <v>588</v>
      </c>
      <c r="B306" s="400" t="s">
        <v>1863</v>
      </c>
      <c r="C306" s="85" t="s">
        <v>759</v>
      </c>
      <c r="D306" s="148" t="s">
        <v>7</v>
      </c>
      <c r="E306" s="87">
        <v>2018</v>
      </c>
      <c r="F306" s="88">
        <v>64</v>
      </c>
      <c r="G306" s="120" t="s">
        <v>863</v>
      </c>
      <c r="H306" s="581" t="s">
        <v>1094</v>
      </c>
      <c r="I306" s="601">
        <v>12000</v>
      </c>
      <c r="J306" s="595" t="s">
        <v>9</v>
      </c>
      <c r="K306" s="91">
        <v>1</v>
      </c>
      <c r="L306" s="91">
        <v>1</v>
      </c>
      <c r="M306" s="232" t="s">
        <v>1530</v>
      </c>
      <c r="N306" s="578" t="str">
        <f>VLOOKUP(M306,'PF Uscite Sp. Corr.'!$C$1:$E$100,2,FALSE)</f>
        <v>Salari, Oneri Sociali, Acc. TFR, Buoni Pasto (e IRAP su retribuz. se dovuta) OTD</v>
      </c>
      <c r="O306" s="131">
        <v>1420</v>
      </c>
      <c r="P306" s="614" t="str">
        <f>VLOOKUP(O306,'Centri di Costo'!$A$2:$B$179,2,FALSE)</f>
        <v xml:space="preserve">Pradon - Totale Attività Ordinaria </v>
      </c>
      <c r="Q306" s="621" t="s">
        <v>1998</v>
      </c>
      <c r="R306" s="642" t="s">
        <v>484</v>
      </c>
    </row>
    <row r="307" spans="1:18" ht="28.5" customHeight="1" outlineLevel="2">
      <c r="A307" s="85" t="s">
        <v>588</v>
      </c>
      <c r="B307" s="400" t="s">
        <v>1863</v>
      </c>
      <c r="C307" s="85" t="s">
        <v>759</v>
      </c>
      <c r="D307" s="148" t="s">
        <v>7</v>
      </c>
      <c r="E307" s="87">
        <v>2018</v>
      </c>
      <c r="F307" s="88">
        <v>65</v>
      </c>
      <c r="G307" s="120" t="s">
        <v>864</v>
      </c>
      <c r="H307" s="581" t="s">
        <v>1094</v>
      </c>
      <c r="I307" s="601">
        <v>2000</v>
      </c>
      <c r="J307" s="595" t="s">
        <v>9</v>
      </c>
      <c r="K307" s="91">
        <v>1</v>
      </c>
      <c r="L307" s="91">
        <v>1</v>
      </c>
      <c r="M307" s="232" t="s">
        <v>1530</v>
      </c>
      <c r="N307" s="578" t="str">
        <f>VLOOKUP(M307,'PF Uscite Sp. Corr.'!$C$1:$E$100,2,FALSE)</f>
        <v>Salari, Oneri Sociali, Acc. TFR, Buoni Pasto (e IRAP su retribuz. se dovuta) OTD</v>
      </c>
      <c r="O307" s="131">
        <v>1420</v>
      </c>
      <c r="P307" s="614" t="str">
        <f>VLOOKUP(O307,'Centri di Costo'!$A$2:$B$179,2,FALSE)</f>
        <v xml:space="preserve">Pradon - Totale Attività Ordinaria </v>
      </c>
      <c r="Q307" s="621" t="s">
        <v>1998</v>
      </c>
      <c r="R307" s="642" t="s">
        <v>484</v>
      </c>
    </row>
    <row r="308" spans="1:18" ht="28.5" customHeight="1" outlineLevel="2">
      <c r="A308" s="85" t="s">
        <v>588</v>
      </c>
      <c r="B308" s="400" t="s">
        <v>1863</v>
      </c>
      <c r="C308" s="85" t="s">
        <v>759</v>
      </c>
      <c r="D308" s="148" t="s">
        <v>7</v>
      </c>
      <c r="E308" s="87">
        <v>2018</v>
      </c>
      <c r="F308" s="88">
        <v>206</v>
      </c>
      <c r="G308" s="120" t="s">
        <v>865</v>
      </c>
      <c r="H308" s="581" t="s">
        <v>1094</v>
      </c>
      <c r="I308" s="601">
        <v>6000</v>
      </c>
      <c r="J308" s="595" t="s">
        <v>9</v>
      </c>
      <c r="K308" s="91">
        <v>1</v>
      </c>
      <c r="L308" s="91">
        <v>1</v>
      </c>
      <c r="M308" s="232" t="s">
        <v>1530</v>
      </c>
      <c r="N308" s="578" t="str">
        <f>VLOOKUP(M308,'PF Uscite Sp. Corr.'!$C$1:$E$100,2,FALSE)</f>
        <v>Salari, Oneri Sociali, Acc. TFR, Buoni Pasto (e IRAP su retribuz. se dovuta) OTD</v>
      </c>
      <c r="O308" s="131">
        <v>1420</v>
      </c>
      <c r="P308" s="614" t="str">
        <f>VLOOKUP(O308,'Centri di Costo'!$A$2:$B$179,2,FALSE)</f>
        <v xml:space="preserve">Pradon - Totale Attività Ordinaria </v>
      </c>
      <c r="Q308" s="621" t="s">
        <v>1998</v>
      </c>
      <c r="R308" s="642" t="s">
        <v>484</v>
      </c>
    </row>
    <row r="309" spans="1:18" ht="28.5" customHeight="1" outlineLevel="2">
      <c r="A309" s="85" t="s">
        <v>588</v>
      </c>
      <c r="B309" s="400" t="s">
        <v>1863</v>
      </c>
      <c r="C309" s="85" t="s">
        <v>759</v>
      </c>
      <c r="D309" s="148" t="s">
        <v>7</v>
      </c>
      <c r="E309" s="87">
        <v>2018</v>
      </c>
      <c r="F309" s="88">
        <v>60</v>
      </c>
      <c r="G309" s="120" t="s">
        <v>823</v>
      </c>
      <c r="H309" s="581" t="s">
        <v>835</v>
      </c>
      <c r="I309" s="601">
        <v>100</v>
      </c>
      <c r="J309" s="595" t="s">
        <v>9</v>
      </c>
      <c r="K309" s="91">
        <v>1</v>
      </c>
      <c r="L309" s="91">
        <v>2</v>
      </c>
      <c r="M309" s="92">
        <v>13</v>
      </c>
      <c r="N309" s="119" t="str">
        <f>VLOOKUP(M309,'PF Uscite Sp. Corr.'!$C$1:$E$100,2,FALSE)</f>
        <v>Imposta comunale sulla pubblicità e diritto sulle pubbliche affissioni</v>
      </c>
      <c r="O309" s="131">
        <v>1420</v>
      </c>
      <c r="P309" s="614" t="str">
        <f>VLOOKUP(O309,'Centri di Costo'!$A$2:$B$179,2,FALSE)</f>
        <v xml:space="preserve">Pradon - Totale Attività Ordinaria </v>
      </c>
      <c r="Q309" s="622" t="s">
        <v>1844</v>
      </c>
      <c r="R309" s="642" t="s">
        <v>429</v>
      </c>
    </row>
    <row r="310" spans="1:18" ht="28.5" customHeight="1" outlineLevel="2">
      <c r="A310" s="85" t="s">
        <v>588</v>
      </c>
      <c r="B310" s="400" t="s">
        <v>1863</v>
      </c>
      <c r="C310" s="85" t="s">
        <v>759</v>
      </c>
      <c r="D310" s="148" t="s">
        <v>7</v>
      </c>
      <c r="E310" s="87">
        <v>2018</v>
      </c>
      <c r="F310" s="88">
        <v>60</v>
      </c>
      <c r="G310" s="120" t="s">
        <v>823</v>
      </c>
      <c r="H310" s="581" t="s">
        <v>70</v>
      </c>
      <c r="I310" s="601">
        <v>3300</v>
      </c>
      <c r="J310" s="595" t="s">
        <v>9</v>
      </c>
      <c r="K310" s="91">
        <v>1</v>
      </c>
      <c r="L310" s="91">
        <v>2</v>
      </c>
      <c r="M310" s="92">
        <v>16</v>
      </c>
      <c r="N310" s="119" t="str">
        <f>VLOOKUP(M310,'PF Uscite Sp. Corr.'!$C$1:$E$100,2,FALSE)</f>
        <v>Tassa e/o tariffa smaltimento rifiuti solidi urbani</v>
      </c>
      <c r="O310" s="131">
        <v>1420</v>
      </c>
      <c r="P310" s="614" t="str">
        <f>VLOOKUP(O310,'Centri di Costo'!$A$2:$B$179,2,FALSE)</f>
        <v xml:space="preserve">Pradon - Totale Attività Ordinaria </v>
      </c>
      <c r="Q310" s="622" t="s">
        <v>1844</v>
      </c>
      <c r="R310" s="642" t="s">
        <v>71</v>
      </c>
    </row>
    <row r="311" spans="1:18" ht="28.5" customHeight="1" outlineLevel="2">
      <c r="A311" s="85" t="s">
        <v>588</v>
      </c>
      <c r="B311" s="400" t="s">
        <v>1863</v>
      </c>
      <c r="C311" s="85" t="s">
        <v>759</v>
      </c>
      <c r="D311" s="148" t="s">
        <v>7</v>
      </c>
      <c r="E311" s="87">
        <v>2018</v>
      </c>
      <c r="F311" s="88">
        <v>60</v>
      </c>
      <c r="G311" s="120" t="s">
        <v>823</v>
      </c>
      <c r="H311" s="581" t="s">
        <v>838</v>
      </c>
      <c r="I311" s="601">
        <v>250</v>
      </c>
      <c r="J311" s="595" t="s">
        <v>9</v>
      </c>
      <c r="K311" s="91">
        <v>1</v>
      </c>
      <c r="L311" s="91">
        <v>2</v>
      </c>
      <c r="M311" s="92">
        <v>19</v>
      </c>
      <c r="N311" s="119" t="str">
        <f>VLOOKUP(M311,'PF Uscite Sp. Corr.'!$C$1:$E$100,2,FALSE)</f>
        <v>Tassa di circolazione dei veicoli a motore (tassa automobilistica)</v>
      </c>
      <c r="O311" s="131">
        <v>1420</v>
      </c>
      <c r="P311" s="614" t="str">
        <f>VLOOKUP(O311,'Centri di Costo'!$A$2:$B$179,2,FALSE)</f>
        <v xml:space="preserve">Pradon - Totale Attività Ordinaria </v>
      </c>
      <c r="Q311" s="622" t="s">
        <v>1844</v>
      </c>
      <c r="R311" s="642" t="s">
        <v>132</v>
      </c>
    </row>
    <row r="312" spans="1:18" ht="28.5" customHeight="1" outlineLevel="2">
      <c r="A312" s="85" t="s">
        <v>588</v>
      </c>
      <c r="B312" s="400" t="s">
        <v>1863</v>
      </c>
      <c r="C312" s="85" t="s">
        <v>759</v>
      </c>
      <c r="D312" s="148" t="s">
        <v>7</v>
      </c>
      <c r="E312" s="87">
        <v>2018</v>
      </c>
      <c r="F312" s="88">
        <v>60</v>
      </c>
      <c r="G312" s="120" t="s">
        <v>823</v>
      </c>
      <c r="H312" s="581" t="s">
        <v>836</v>
      </c>
      <c r="I312" s="601">
        <v>2600</v>
      </c>
      <c r="J312" s="595" t="s">
        <v>9</v>
      </c>
      <c r="K312" s="91">
        <v>1</v>
      </c>
      <c r="L312" s="91">
        <v>2</v>
      </c>
      <c r="M312" s="92">
        <v>29</v>
      </c>
      <c r="N312" s="119" t="str">
        <f>VLOOKUP(M312,'PF Uscite Sp. Corr.'!$C$1:$E$100,2,FALSE)</f>
        <v>Imposte, tasse e proventi assimilati a carico dell'ente n.a.c.</v>
      </c>
      <c r="O312" s="131">
        <v>1420</v>
      </c>
      <c r="P312" s="614" t="str">
        <f>VLOOKUP(O312,'Centri di Costo'!$A$2:$B$179,2,FALSE)</f>
        <v xml:space="preserve">Pradon - Totale Attività Ordinaria </v>
      </c>
      <c r="Q312" s="622" t="s">
        <v>1844</v>
      </c>
      <c r="R312" s="642" t="s">
        <v>49</v>
      </c>
    </row>
    <row r="313" spans="1:18" ht="28.5" customHeight="1" outlineLevel="2">
      <c r="A313" s="85" t="s">
        <v>588</v>
      </c>
      <c r="B313" s="400" t="s">
        <v>1863</v>
      </c>
      <c r="C313" s="85" t="s">
        <v>759</v>
      </c>
      <c r="D313" s="148" t="s">
        <v>7</v>
      </c>
      <c r="E313" s="87">
        <v>2018</v>
      </c>
      <c r="F313" s="88">
        <v>60</v>
      </c>
      <c r="G313" s="120" t="s">
        <v>823</v>
      </c>
      <c r="H313" s="581" t="s">
        <v>255</v>
      </c>
      <c r="I313" s="601">
        <v>600</v>
      </c>
      <c r="J313" s="595" t="s">
        <v>9</v>
      </c>
      <c r="K313" s="91">
        <v>1</v>
      </c>
      <c r="L313" s="91">
        <v>3</v>
      </c>
      <c r="M313" s="92">
        <v>31</v>
      </c>
      <c r="N313" s="119" t="str">
        <f>VLOOKUP(M313,'PF Uscite Sp. Corr.'!$C$1:$E$100,2,FALSE)</f>
        <v>Giornali, riviste e pubblicazioni</v>
      </c>
      <c r="O313" s="131">
        <v>1420</v>
      </c>
      <c r="P313" s="614" t="str">
        <f>VLOOKUP(O313,'Centri di Costo'!$A$2:$B$179,2,FALSE)</f>
        <v xml:space="preserve">Pradon - Totale Attività Ordinaria </v>
      </c>
      <c r="Q313" s="623" t="s">
        <v>1997</v>
      </c>
      <c r="R313" s="642" t="s">
        <v>256</v>
      </c>
    </row>
    <row r="314" spans="1:18" ht="28.5" customHeight="1" outlineLevel="2">
      <c r="A314" s="85" t="s">
        <v>588</v>
      </c>
      <c r="B314" s="400" t="s">
        <v>1863</v>
      </c>
      <c r="C314" s="85" t="s">
        <v>759</v>
      </c>
      <c r="D314" s="148" t="s">
        <v>7</v>
      </c>
      <c r="E314" s="87">
        <v>2018</v>
      </c>
      <c r="F314" s="88">
        <v>60</v>
      </c>
      <c r="G314" s="120" t="s">
        <v>823</v>
      </c>
      <c r="H314" s="581" t="s">
        <v>837</v>
      </c>
      <c r="I314" s="601">
        <v>2000</v>
      </c>
      <c r="J314" s="595" t="s">
        <v>9</v>
      </c>
      <c r="K314" s="91">
        <v>1</v>
      </c>
      <c r="L314" s="91">
        <v>3</v>
      </c>
      <c r="M314" s="92">
        <v>32</v>
      </c>
      <c r="N314" s="119" t="str">
        <f>VLOOKUP(M314,'PF Uscite Sp. Corr.'!$C$1:$E$100,2,FALSE)</f>
        <v>Altri beni di consumo</v>
      </c>
      <c r="O314" s="131">
        <v>1420</v>
      </c>
      <c r="P314" s="614" t="str">
        <f>VLOOKUP(O314,'Centri di Costo'!$A$2:$B$179,2,FALSE)</f>
        <v xml:space="preserve">Pradon - Totale Attività Ordinaria </v>
      </c>
      <c r="Q314" s="623" t="s">
        <v>2014</v>
      </c>
      <c r="R314" s="642" t="s">
        <v>113</v>
      </c>
    </row>
    <row r="315" spans="1:18" ht="28.5" customHeight="1" outlineLevel="2">
      <c r="A315" s="85" t="s">
        <v>588</v>
      </c>
      <c r="B315" s="400" t="s">
        <v>1863</v>
      </c>
      <c r="C315" s="85" t="s">
        <v>759</v>
      </c>
      <c r="D315" s="148" t="s">
        <v>7</v>
      </c>
      <c r="E315" s="87">
        <v>2018</v>
      </c>
      <c r="F315" s="88">
        <v>60</v>
      </c>
      <c r="G315" s="120" t="s">
        <v>823</v>
      </c>
      <c r="H315" s="581" t="s">
        <v>839</v>
      </c>
      <c r="I315" s="601">
        <v>500</v>
      </c>
      <c r="J315" s="595" t="s">
        <v>9</v>
      </c>
      <c r="K315" s="91">
        <v>1</v>
      </c>
      <c r="L315" s="91">
        <v>3</v>
      </c>
      <c r="M315" s="92">
        <v>32</v>
      </c>
      <c r="N315" s="119" t="str">
        <f>VLOOKUP(M315,'PF Uscite Sp. Corr.'!$C$1:$E$100,2,FALSE)</f>
        <v>Altri beni di consumo</v>
      </c>
      <c r="O315" s="131">
        <v>1420</v>
      </c>
      <c r="P315" s="614" t="str">
        <f>VLOOKUP(O315,'Centri di Costo'!$A$2:$B$179,2,FALSE)</f>
        <v xml:space="preserve">Pradon - Totale Attività Ordinaria </v>
      </c>
      <c r="Q315" s="623" t="s">
        <v>1997</v>
      </c>
      <c r="R315" s="642" t="s">
        <v>807</v>
      </c>
    </row>
    <row r="316" spans="1:18" ht="28.5" customHeight="1" outlineLevel="2">
      <c r="A316" s="85" t="s">
        <v>588</v>
      </c>
      <c r="B316" s="400" t="s">
        <v>1863</v>
      </c>
      <c r="C316" s="85" t="s">
        <v>759</v>
      </c>
      <c r="D316" s="148" t="s">
        <v>7</v>
      </c>
      <c r="E316" s="87">
        <v>2018</v>
      </c>
      <c r="F316" s="88">
        <v>60</v>
      </c>
      <c r="G316" s="120" t="s">
        <v>823</v>
      </c>
      <c r="H316" s="581" t="s">
        <v>840</v>
      </c>
      <c r="I316" s="601">
        <v>300</v>
      </c>
      <c r="J316" s="595" t="s">
        <v>9</v>
      </c>
      <c r="K316" s="91">
        <v>1</v>
      </c>
      <c r="L316" s="91">
        <v>3</v>
      </c>
      <c r="M316" s="92">
        <v>32</v>
      </c>
      <c r="N316" s="119" t="str">
        <f>VLOOKUP(M316,'PF Uscite Sp. Corr.'!$C$1:$E$100,2,FALSE)</f>
        <v>Altri beni di consumo</v>
      </c>
      <c r="O316" s="131">
        <v>1420</v>
      </c>
      <c r="P316" s="614" t="str">
        <f>VLOOKUP(O316,'Centri di Costo'!$A$2:$B$179,2,FALSE)</f>
        <v xml:space="preserve">Pradon - Totale Attività Ordinaria </v>
      </c>
      <c r="Q316" s="623" t="s">
        <v>1997</v>
      </c>
      <c r="R316" s="642" t="s">
        <v>683</v>
      </c>
    </row>
    <row r="317" spans="1:18" ht="28.5" customHeight="1" outlineLevel="2">
      <c r="A317" s="85" t="s">
        <v>588</v>
      </c>
      <c r="B317" s="400" t="s">
        <v>1863</v>
      </c>
      <c r="C317" s="85" t="s">
        <v>759</v>
      </c>
      <c r="D317" s="148" t="s">
        <v>7</v>
      </c>
      <c r="E317" s="87">
        <v>2018</v>
      </c>
      <c r="F317" s="88">
        <v>60</v>
      </c>
      <c r="G317" s="120" t="s">
        <v>823</v>
      </c>
      <c r="H317" s="581" t="s">
        <v>841</v>
      </c>
      <c r="I317" s="601">
        <v>500</v>
      </c>
      <c r="J317" s="595" t="s">
        <v>9</v>
      </c>
      <c r="K317" s="91">
        <v>1</v>
      </c>
      <c r="L317" s="91">
        <v>3</v>
      </c>
      <c r="M317" s="92">
        <v>32</v>
      </c>
      <c r="N317" s="119" t="str">
        <f>VLOOKUP(M317,'PF Uscite Sp. Corr.'!$C$1:$E$100,2,FALSE)</f>
        <v>Altri beni di consumo</v>
      </c>
      <c r="O317" s="131">
        <v>1420</v>
      </c>
      <c r="P317" s="614" t="str">
        <f>VLOOKUP(O317,'Centri di Costo'!$A$2:$B$179,2,FALSE)</f>
        <v xml:space="preserve">Pradon - Totale Attività Ordinaria </v>
      </c>
      <c r="Q317" s="623" t="s">
        <v>1997</v>
      </c>
      <c r="R317" s="642" t="s">
        <v>469</v>
      </c>
    </row>
    <row r="318" spans="1:18" ht="28.5" customHeight="1" outlineLevel="2">
      <c r="A318" s="85" t="s">
        <v>588</v>
      </c>
      <c r="B318" s="400" t="s">
        <v>1863</v>
      </c>
      <c r="C318" s="85" t="s">
        <v>759</v>
      </c>
      <c r="D318" s="148" t="s">
        <v>7</v>
      </c>
      <c r="E318" s="87">
        <v>2018</v>
      </c>
      <c r="F318" s="88">
        <v>60</v>
      </c>
      <c r="G318" s="120" t="s">
        <v>823</v>
      </c>
      <c r="H318" s="581" t="s">
        <v>1564</v>
      </c>
      <c r="I318" s="601">
        <v>1300</v>
      </c>
      <c r="J318" s="595" t="s">
        <v>9</v>
      </c>
      <c r="K318" s="91">
        <v>1</v>
      </c>
      <c r="L318" s="91">
        <v>3</v>
      </c>
      <c r="M318" s="92">
        <v>32</v>
      </c>
      <c r="N318" s="119" t="str">
        <f>VLOOKUP(M318,'PF Uscite Sp. Corr.'!$C$1:$E$100,2,FALSE)</f>
        <v>Altri beni di consumo</v>
      </c>
      <c r="O318" s="131">
        <v>1420</v>
      </c>
      <c r="P318" s="614" t="str">
        <f>VLOOKUP(O318,'Centri di Costo'!$A$2:$B$179,2,FALSE)</f>
        <v xml:space="preserve">Pradon - Totale Attività Ordinaria </v>
      </c>
      <c r="Q318" s="623" t="s">
        <v>1997</v>
      </c>
      <c r="R318" s="642" t="s">
        <v>424</v>
      </c>
    </row>
    <row r="319" spans="1:18" ht="28.5" customHeight="1" outlineLevel="2">
      <c r="A319" s="85" t="s">
        <v>588</v>
      </c>
      <c r="B319" s="400" t="s">
        <v>1863</v>
      </c>
      <c r="C319" s="85" t="s">
        <v>759</v>
      </c>
      <c r="D319" s="148" t="s">
        <v>7</v>
      </c>
      <c r="E319" s="87">
        <v>2018</v>
      </c>
      <c r="F319" s="88">
        <v>60</v>
      </c>
      <c r="G319" s="120" t="s">
        <v>823</v>
      </c>
      <c r="H319" s="581" t="s">
        <v>842</v>
      </c>
      <c r="I319" s="601">
        <v>2500</v>
      </c>
      <c r="J319" s="595" t="s">
        <v>9</v>
      </c>
      <c r="K319" s="91">
        <v>1</v>
      </c>
      <c r="L319" s="91">
        <v>3</v>
      </c>
      <c r="M319" s="92">
        <v>32</v>
      </c>
      <c r="N319" s="119" t="str">
        <f>VLOOKUP(M319,'PF Uscite Sp. Corr.'!$C$1:$E$100,2,FALSE)</f>
        <v>Altri beni di consumo</v>
      </c>
      <c r="O319" s="131">
        <v>1420</v>
      </c>
      <c r="P319" s="614" t="str">
        <f>VLOOKUP(O319,'Centri di Costo'!$A$2:$B$179,2,FALSE)</f>
        <v xml:space="preserve">Pradon - Totale Attività Ordinaria </v>
      </c>
      <c r="Q319" s="623" t="s">
        <v>1997</v>
      </c>
      <c r="R319" s="642" t="s">
        <v>426</v>
      </c>
    </row>
    <row r="320" spans="1:18" ht="28.5" customHeight="1" outlineLevel="2">
      <c r="A320" s="85" t="s">
        <v>588</v>
      </c>
      <c r="B320" s="400" t="s">
        <v>1863</v>
      </c>
      <c r="C320" s="85" t="s">
        <v>759</v>
      </c>
      <c r="D320" s="148" t="s">
        <v>7</v>
      </c>
      <c r="E320" s="87">
        <v>2018</v>
      </c>
      <c r="F320" s="88">
        <v>60</v>
      </c>
      <c r="G320" s="120" t="s">
        <v>823</v>
      </c>
      <c r="H320" s="581" t="s">
        <v>843</v>
      </c>
      <c r="I320" s="601">
        <v>800</v>
      </c>
      <c r="J320" s="595" t="s">
        <v>9</v>
      </c>
      <c r="K320" s="91">
        <v>1</v>
      </c>
      <c r="L320" s="91">
        <v>3</v>
      </c>
      <c r="M320" s="92">
        <v>32</v>
      </c>
      <c r="N320" s="119" t="str">
        <f>VLOOKUP(M320,'PF Uscite Sp. Corr.'!$C$1:$E$100,2,FALSE)</f>
        <v>Altri beni di consumo</v>
      </c>
      <c r="O320" s="131">
        <v>1420</v>
      </c>
      <c r="P320" s="614" t="str">
        <f>VLOOKUP(O320,'Centri di Costo'!$A$2:$B$179,2,FALSE)</f>
        <v xml:space="preserve">Pradon - Totale Attività Ordinaria </v>
      </c>
      <c r="Q320" s="623" t="s">
        <v>1997</v>
      </c>
      <c r="R320" s="642" t="s">
        <v>610</v>
      </c>
    </row>
    <row r="321" spans="1:18" ht="28.5" customHeight="1" outlineLevel="2">
      <c r="A321" s="85" t="s">
        <v>588</v>
      </c>
      <c r="B321" s="400" t="s">
        <v>1863</v>
      </c>
      <c r="C321" s="85" t="s">
        <v>759</v>
      </c>
      <c r="D321" s="148" t="s">
        <v>7</v>
      </c>
      <c r="E321" s="87">
        <v>2018</v>
      </c>
      <c r="F321" s="88">
        <v>60</v>
      </c>
      <c r="G321" s="120" t="s">
        <v>823</v>
      </c>
      <c r="H321" s="581" t="s">
        <v>844</v>
      </c>
      <c r="I321" s="601">
        <v>850</v>
      </c>
      <c r="J321" s="595" t="s">
        <v>9</v>
      </c>
      <c r="K321" s="91">
        <v>1</v>
      </c>
      <c r="L321" s="91">
        <v>3</v>
      </c>
      <c r="M321" s="92">
        <v>32</v>
      </c>
      <c r="N321" s="119" t="str">
        <f>VLOOKUP(M321,'PF Uscite Sp. Corr.'!$C$1:$E$100,2,FALSE)</f>
        <v>Altri beni di consumo</v>
      </c>
      <c r="O321" s="131">
        <v>1420</v>
      </c>
      <c r="P321" s="614" t="str">
        <f>VLOOKUP(O321,'Centri di Costo'!$A$2:$B$179,2,FALSE)</f>
        <v xml:space="preserve">Pradon - Totale Attività Ordinaria </v>
      </c>
      <c r="Q321" s="623" t="s">
        <v>1997</v>
      </c>
      <c r="R321" s="642" t="s">
        <v>436</v>
      </c>
    </row>
    <row r="322" spans="1:18" ht="28.5" customHeight="1" outlineLevel="2">
      <c r="A322" s="85" t="s">
        <v>588</v>
      </c>
      <c r="B322" s="400" t="s">
        <v>1863</v>
      </c>
      <c r="C322" s="85" t="s">
        <v>759</v>
      </c>
      <c r="D322" s="148" t="s">
        <v>7</v>
      </c>
      <c r="E322" s="87">
        <v>2018</v>
      </c>
      <c r="F322" s="88">
        <v>60</v>
      </c>
      <c r="G322" s="120" t="s">
        <v>823</v>
      </c>
      <c r="H322" s="581" t="s">
        <v>846</v>
      </c>
      <c r="I322" s="601">
        <v>2800</v>
      </c>
      <c r="J322" s="595" t="s">
        <v>9</v>
      </c>
      <c r="K322" s="91">
        <v>1</v>
      </c>
      <c r="L322" s="91">
        <v>3</v>
      </c>
      <c r="M322" s="92">
        <v>32</v>
      </c>
      <c r="N322" s="119" t="str">
        <f>VLOOKUP(M322,'PF Uscite Sp. Corr.'!$C$1:$E$100,2,FALSE)</f>
        <v>Altri beni di consumo</v>
      </c>
      <c r="O322" s="131">
        <v>1420</v>
      </c>
      <c r="P322" s="614" t="str">
        <f>VLOOKUP(O322,'Centri di Costo'!$A$2:$B$179,2,FALSE)</f>
        <v xml:space="preserve">Pradon - Totale Attività Ordinaria </v>
      </c>
      <c r="Q322" s="623" t="s">
        <v>1997</v>
      </c>
      <c r="R322" s="642" t="s">
        <v>810</v>
      </c>
    </row>
    <row r="323" spans="1:18" ht="28.5" customHeight="1" outlineLevel="2">
      <c r="A323" s="85" t="s">
        <v>588</v>
      </c>
      <c r="B323" s="400" t="s">
        <v>1863</v>
      </c>
      <c r="C323" s="85" t="s">
        <v>759</v>
      </c>
      <c r="D323" s="148" t="s">
        <v>7</v>
      </c>
      <c r="E323" s="87">
        <v>2018</v>
      </c>
      <c r="F323" s="88">
        <v>60</v>
      </c>
      <c r="G323" s="120" t="s">
        <v>823</v>
      </c>
      <c r="H323" s="581" t="s">
        <v>847</v>
      </c>
      <c r="I323" s="601">
        <v>2300</v>
      </c>
      <c r="J323" s="595" t="s">
        <v>9</v>
      </c>
      <c r="K323" s="91">
        <v>1</v>
      </c>
      <c r="L323" s="91">
        <v>3</v>
      </c>
      <c r="M323" s="92">
        <v>32</v>
      </c>
      <c r="N323" s="119" t="str">
        <f>VLOOKUP(M323,'PF Uscite Sp. Corr.'!$C$1:$E$100,2,FALSE)</f>
        <v>Altri beni di consumo</v>
      </c>
      <c r="O323" s="131">
        <v>1420</v>
      </c>
      <c r="P323" s="614" t="str">
        <f>VLOOKUP(O323,'Centri di Costo'!$A$2:$B$179,2,FALSE)</f>
        <v xml:space="preserve">Pradon - Totale Attività Ordinaria </v>
      </c>
      <c r="Q323" s="623" t="s">
        <v>1997</v>
      </c>
      <c r="R323" s="642" t="s">
        <v>812</v>
      </c>
    </row>
    <row r="324" spans="1:18" ht="28.5" customHeight="1" outlineLevel="2">
      <c r="A324" s="85" t="s">
        <v>588</v>
      </c>
      <c r="B324" s="400" t="s">
        <v>1863</v>
      </c>
      <c r="C324" s="85" t="s">
        <v>759</v>
      </c>
      <c r="D324" s="148" t="s">
        <v>7</v>
      </c>
      <c r="E324" s="87">
        <v>2018</v>
      </c>
      <c r="F324" s="88">
        <v>60</v>
      </c>
      <c r="G324" s="120" t="s">
        <v>823</v>
      </c>
      <c r="H324" s="581" t="s">
        <v>848</v>
      </c>
      <c r="I324" s="601">
        <v>2800</v>
      </c>
      <c r="J324" s="595" t="s">
        <v>9</v>
      </c>
      <c r="K324" s="91">
        <v>1</v>
      </c>
      <c r="L324" s="91">
        <v>3</v>
      </c>
      <c r="M324" s="92">
        <v>32</v>
      </c>
      <c r="N324" s="119" t="str">
        <f>VLOOKUP(M324,'PF Uscite Sp. Corr.'!$C$1:$E$100,2,FALSE)</f>
        <v>Altri beni di consumo</v>
      </c>
      <c r="O324" s="131">
        <v>1420</v>
      </c>
      <c r="P324" s="614" t="str">
        <f>VLOOKUP(O324,'Centri di Costo'!$A$2:$B$179,2,FALSE)</f>
        <v xml:space="preserve">Pradon - Totale Attività Ordinaria </v>
      </c>
      <c r="Q324" s="623" t="s">
        <v>1997</v>
      </c>
      <c r="R324" s="642" t="s">
        <v>743</v>
      </c>
    </row>
    <row r="325" spans="1:18" ht="28.5" customHeight="1" outlineLevel="2">
      <c r="A325" s="85" t="s">
        <v>588</v>
      </c>
      <c r="B325" s="400" t="s">
        <v>1863</v>
      </c>
      <c r="C325" s="85" t="s">
        <v>759</v>
      </c>
      <c r="D325" s="148" t="s">
        <v>7</v>
      </c>
      <c r="E325" s="87">
        <v>2018</v>
      </c>
      <c r="F325" s="88">
        <v>60</v>
      </c>
      <c r="G325" s="120" t="s">
        <v>823</v>
      </c>
      <c r="H325" s="581" t="s">
        <v>849</v>
      </c>
      <c r="I325" s="601">
        <v>300</v>
      </c>
      <c r="J325" s="595" t="s">
        <v>9</v>
      </c>
      <c r="K325" s="91">
        <v>1</v>
      </c>
      <c r="L325" s="91">
        <v>3</v>
      </c>
      <c r="M325" s="92">
        <v>32</v>
      </c>
      <c r="N325" s="119" t="str">
        <f>VLOOKUP(M325,'PF Uscite Sp. Corr.'!$C$1:$E$100,2,FALSE)</f>
        <v>Altri beni di consumo</v>
      </c>
      <c r="O325" s="131">
        <v>1420</v>
      </c>
      <c r="P325" s="614" t="str">
        <f>VLOOKUP(O325,'Centri di Costo'!$A$2:$B$179,2,FALSE)</f>
        <v xml:space="preserve">Pradon - Totale Attività Ordinaria </v>
      </c>
      <c r="Q325" s="623" t="s">
        <v>1997</v>
      </c>
      <c r="R325" s="642" t="s">
        <v>472</v>
      </c>
    </row>
    <row r="326" spans="1:18" ht="28.5" customHeight="1" outlineLevel="2">
      <c r="A326" s="85" t="s">
        <v>588</v>
      </c>
      <c r="B326" s="400" t="s">
        <v>1863</v>
      </c>
      <c r="C326" s="85" t="s">
        <v>759</v>
      </c>
      <c r="D326" s="148" t="s">
        <v>7</v>
      </c>
      <c r="E326" s="87">
        <v>2018</v>
      </c>
      <c r="F326" s="88">
        <v>60</v>
      </c>
      <c r="G326" s="120" t="s">
        <v>823</v>
      </c>
      <c r="H326" s="581" t="s">
        <v>1565</v>
      </c>
      <c r="I326" s="601">
        <v>3500</v>
      </c>
      <c r="J326" s="595" t="s">
        <v>9</v>
      </c>
      <c r="K326" s="91">
        <v>1</v>
      </c>
      <c r="L326" s="91">
        <v>3</v>
      </c>
      <c r="M326" s="92">
        <v>32</v>
      </c>
      <c r="N326" s="119" t="str">
        <f>VLOOKUP(M326,'PF Uscite Sp. Corr.'!$C$1:$E$100,2,FALSE)</f>
        <v>Altri beni di consumo</v>
      </c>
      <c r="O326" s="131">
        <v>1420</v>
      </c>
      <c r="P326" s="614" t="str">
        <f>VLOOKUP(O326,'Centri di Costo'!$A$2:$B$179,2,FALSE)</f>
        <v xml:space="preserve">Pradon - Totale Attività Ordinaria </v>
      </c>
      <c r="Q326" s="623" t="s">
        <v>1997</v>
      </c>
      <c r="R326" s="642" t="s">
        <v>192</v>
      </c>
    </row>
    <row r="327" spans="1:18" ht="28.5" customHeight="1" outlineLevel="2">
      <c r="A327" s="85" t="s">
        <v>588</v>
      </c>
      <c r="B327" s="400" t="s">
        <v>1863</v>
      </c>
      <c r="C327" s="85" t="s">
        <v>759</v>
      </c>
      <c r="D327" s="148" t="s">
        <v>7</v>
      </c>
      <c r="E327" s="87">
        <v>2018</v>
      </c>
      <c r="F327" s="88">
        <v>60</v>
      </c>
      <c r="G327" s="120" t="s">
        <v>823</v>
      </c>
      <c r="H327" s="581" t="s">
        <v>852</v>
      </c>
      <c r="I327" s="601">
        <v>1300</v>
      </c>
      <c r="J327" s="595" t="s">
        <v>9</v>
      </c>
      <c r="K327" s="91">
        <v>1</v>
      </c>
      <c r="L327" s="91">
        <v>3</v>
      </c>
      <c r="M327" s="92">
        <v>32</v>
      </c>
      <c r="N327" s="119" t="str">
        <f>VLOOKUP(M327,'PF Uscite Sp. Corr.'!$C$1:$E$100,2,FALSE)</f>
        <v>Altri beni di consumo</v>
      </c>
      <c r="O327" s="131">
        <v>1420</v>
      </c>
      <c r="P327" s="614" t="str">
        <f>VLOOKUP(O327,'Centri di Costo'!$A$2:$B$179,2,FALSE)</f>
        <v xml:space="preserve">Pradon - Totale Attività Ordinaria </v>
      </c>
      <c r="Q327" s="623" t="s">
        <v>1997</v>
      </c>
      <c r="R327" s="642" t="s">
        <v>320</v>
      </c>
    </row>
    <row r="328" spans="1:18" ht="28.5" customHeight="1" outlineLevel="2">
      <c r="A328" s="85" t="s">
        <v>588</v>
      </c>
      <c r="B328" s="400" t="s">
        <v>1863</v>
      </c>
      <c r="C328" s="85" t="s">
        <v>759</v>
      </c>
      <c r="D328" s="148" t="s">
        <v>7</v>
      </c>
      <c r="E328" s="87">
        <v>2018</v>
      </c>
      <c r="F328" s="88">
        <v>61</v>
      </c>
      <c r="G328" s="120" t="s">
        <v>857</v>
      </c>
      <c r="H328" s="587" t="s">
        <v>1566</v>
      </c>
      <c r="I328" s="601"/>
      <c r="J328" s="595" t="s">
        <v>9</v>
      </c>
      <c r="K328" s="91">
        <v>1</v>
      </c>
      <c r="L328" s="91">
        <v>3</v>
      </c>
      <c r="M328" s="92">
        <v>32</v>
      </c>
      <c r="N328" s="119" t="str">
        <f>VLOOKUP(M328,'PF Uscite Sp. Corr.'!$C$1:$E$100,2,FALSE)</f>
        <v>Altri beni di consumo</v>
      </c>
      <c r="O328" s="131">
        <v>1420</v>
      </c>
      <c r="P328" s="614" t="str">
        <f>VLOOKUP(O328,'Centri di Costo'!$A$2:$B$179,2,FALSE)</f>
        <v xml:space="preserve">Pradon - Totale Attività Ordinaria </v>
      </c>
      <c r="Q328" s="623" t="s">
        <v>1997</v>
      </c>
      <c r="R328" s="642" t="s">
        <v>324</v>
      </c>
    </row>
    <row r="329" spans="1:18" ht="28.5" customHeight="1" outlineLevel="2">
      <c r="A329" s="85" t="s">
        <v>588</v>
      </c>
      <c r="B329" s="400" t="s">
        <v>1863</v>
      </c>
      <c r="C329" s="85" t="s">
        <v>759</v>
      </c>
      <c r="D329" s="148" t="s">
        <v>7</v>
      </c>
      <c r="E329" s="87">
        <v>2018</v>
      </c>
      <c r="F329" s="88">
        <v>62</v>
      </c>
      <c r="G329" s="120" t="s">
        <v>859</v>
      </c>
      <c r="H329" s="587" t="s">
        <v>1566</v>
      </c>
      <c r="I329" s="601"/>
      <c r="J329" s="595" t="s">
        <v>9</v>
      </c>
      <c r="K329" s="91">
        <v>1</v>
      </c>
      <c r="L329" s="91">
        <v>3</v>
      </c>
      <c r="M329" s="92">
        <v>32</v>
      </c>
      <c r="N329" s="119" t="str">
        <f>VLOOKUP(M329,'PF Uscite Sp. Corr.'!$C$1:$E$100,2,FALSE)</f>
        <v>Altri beni di consumo</v>
      </c>
      <c r="O329" s="131">
        <v>1420</v>
      </c>
      <c r="P329" s="614" t="str">
        <f>VLOOKUP(O329,'Centri di Costo'!$A$2:$B$179,2,FALSE)</f>
        <v xml:space="preserve">Pradon - Totale Attività Ordinaria </v>
      </c>
      <c r="Q329" s="623" t="s">
        <v>1997</v>
      </c>
      <c r="R329" s="642" t="s">
        <v>324</v>
      </c>
    </row>
    <row r="330" spans="1:18" ht="28.5" customHeight="1" outlineLevel="2">
      <c r="A330" s="85" t="s">
        <v>588</v>
      </c>
      <c r="B330" s="400" t="s">
        <v>1863</v>
      </c>
      <c r="C330" s="85" t="s">
        <v>759</v>
      </c>
      <c r="D330" s="148" t="s">
        <v>7</v>
      </c>
      <c r="E330" s="87">
        <v>2018</v>
      </c>
      <c r="F330" s="88">
        <v>63</v>
      </c>
      <c r="G330" s="120" t="s">
        <v>862</v>
      </c>
      <c r="H330" s="587" t="s">
        <v>1566</v>
      </c>
      <c r="I330" s="601"/>
      <c r="J330" s="595" t="s">
        <v>9</v>
      </c>
      <c r="K330" s="91">
        <v>1</v>
      </c>
      <c r="L330" s="91">
        <v>3</v>
      </c>
      <c r="M330" s="92">
        <v>32</v>
      </c>
      <c r="N330" s="119" t="str">
        <f>VLOOKUP(M330,'PF Uscite Sp. Corr.'!$C$1:$E$100,2,FALSE)</f>
        <v>Altri beni di consumo</v>
      </c>
      <c r="O330" s="131">
        <v>1420</v>
      </c>
      <c r="P330" s="614" t="str">
        <f>VLOOKUP(O330,'Centri di Costo'!$A$2:$B$179,2,FALSE)</f>
        <v xml:space="preserve">Pradon - Totale Attività Ordinaria </v>
      </c>
      <c r="Q330" s="623" t="s">
        <v>1997</v>
      </c>
      <c r="R330" s="642" t="s">
        <v>324</v>
      </c>
    </row>
    <row r="331" spans="1:18" ht="28.5" customHeight="1" outlineLevel="2">
      <c r="A331" s="85" t="s">
        <v>588</v>
      </c>
      <c r="B331" s="400" t="s">
        <v>1863</v>
      </c>
      <c r="C331" s="85" t="s">
        <v>759</v>
      </c>
      <c r="D331" s="148" t="s">
        <v>7</v>
      </c>
      <c r="E331" s="87">
        <v>2018</v>
      </c>
      <c r="F331" s="88">
        <v>64</v>
      </c>
      <c r="G331" s="120" t="s">
        <v>863</v>
      </c>
      <c r="H331" s="587" t="s">
        <v>1566</v>
      </c>
      <c r="I331" s="608"/>
      <c r="J331" s="595" t="s">
        <v>9</v>
      </c>
      <c r="K331" s="91">
        <v>1</v>
      </c>
      <c r="L331" s="91">
        <v>3</v>
      </c>
      <c r="M331" s="92">
        <v>32</v>
      </c>
      <c r="N331" s="119" t="str">
        <f>VLOOKUP(M331,'PF Uscite Sp. Corr.'!$C$1:$E$100,2,FALSE)</f>
        <v>Altri beni di consumo</v>
      </c>
      <c r="O331" s="131">
        <v>1420</v>
      </c>
      <c r="P331" s="614" t="str">
        <f>VLOOKUP(O331,'Centri di Costo'!$A$2:$B$179,2,FALSE)</f>
        <v xml:space="preserve">Pradon - Totale Attività Ordinaria </v>
      </c>
      <c r="Q331" s="623" t="s">
        <v>1997</v>
      </c>
      <c r="R331" s="642" t="s">
        <v>324</v>
      </c>
    </row>
    <row r="332" spans="1:18" ht="28.5" customHeight="1" outlineLevel="2">
      <c r="A332" s="85" t="s">
        <v>588</v>
      </c>
      <c r="B332" s="400" t="s">
        <v>1863</v>
      </c>
      <c r="C332" s="85" t="s">
        <v>759</v>
      </c>
      <c r="D332" s="148" t="s">
        <v>7</v>
      </c>
      <c r="E332" s="87">
        <v>2018</v>
      </c>
      <c r="F332" s="88">
        <v>65</v>
      </c>
      <c r="G332" s="120" t="s">
        <v>864</v>
      </c>
      <c r="H332" s="587" t="s">
        <v>1566</v>
      </c>
      <c r="I332" s="601"/>
      <c r="J332" s="595" t="s">
        <v>9</v>
      </c>
      <c r="K332" s="91">
        <v>1</v>
      </c>
      <c r="L332" s="91">
        <v>3</v>
      </c>
      <c r="M332" s="92">
        <v>32</v>
      </c>
      <c r="N332" s="119" t="str">
        <f>VLOOKUP(M332,'PF Uscite Sp. Corr.'!$C$1:$E$100,2,FALSE)</f>
        <v>Altri beni di consumo</v>
      </c>
      <c r="O332" s="131">
        <v>1420</v>
      </c>
      <c r="P332" s="614" t="str">
        <f>VLOOKUP(O332,'Centri di Costo'!$A$2:$B$179,2,FALSE)</f>
        <v xml:space="preserve">Pradon - Totale Attività Ordinaria </v>
      </c>
      <c r="Q332" s="623" t="s">
        <v>1997</v>
      </c>
      <c r="R332" s="642" t="s">
        <v>324</v>
      </c>
    </row>
    <row r="333" spans="1:18" ht="28.5" customHeight="1" outlineLevel="2">
      <c r="A333" s="85" t="s">
        <v>588</v>
      </c>
      <c r="B333" s="400" t="s">
        <v>1863</v>
      </c>
      <c r="C333" s="85" t="s">
        <v>759</v>
      </c>
      <c r="D333" s="148" t="s">
        <v>7</v>
      </c>
      <c r="E333" s="87">
        <v>2018</v>
      </c>
      <c r="F333" s="88">
        <v>206</v>
      </c>
      <c r="G333" s="120" t="s">
        <v>865</v>
      </c>
      <c r="H333" s="581" t="s">
        <v>866</v>
      </c>
      <c r="I333" s="601"/>
      <c r="J333" s="595" t="s">
        <v>9</v>
      </c>
      <c r="K333" s="91">
        <v>1</v>
      </c>
      <c r="L333" s="91">
        <v>3</v>
      </c>
      <c r="M333" s="92">
        <v>32</v>
      </c>
      <c r="N333" s="119" t="str">
        <f>VLOOKUP(M333,'PF Uscite Sp. Corr.'!$C$1:$E$100,2,FALSE)</f>
        <v>Altri beni di consumo</v>
      </c>
      <c r="O333" s="131">
        <v>1420</v>
      </c>
      <c r="P333" s="614" t="str">
        <f>VLOOKUP(O333,'Centri di Costo'!$A$2:$B$179,2,FALSE)</f>
        <v xml:space="preserve">Pradon - Totale Attività Ordinaria </v>
      </c>
      <c r="Q333" s="623" t="s">
        <v>1997</v>
      </c>
      <c r="R333" s="642" t="s">
        <v>324</v>
      </c>
    </row>
    <row r="334" spans="1:18" ht="28.5" customHeight="1" outlineLevel="2">
      <c r="A334" s="85" t="s">
        <v>588</v>
      </c>
      <c r="B334" s="400" t="s">
        <v>1863</v>
      </c>
      <c r="C334" s="85" t="s">
        <v>759</v>
      </c>
      <c r="D334" s="148" t="s">
        <v>7</v>
      </c>
      <c r="E334" s="87">
        <v>2018</v>
      </c>
      <c r="F334" s="88">
        <v>60</v>
      </c>
      <c r="G334" s="120" t="s">
        <v>823</v>
      </c>
      <c r="H334" s="581" t="s">
        <v>850</v>
      </c>
      <c r="I334" s="601">
        <v>2000</v>
      </c>
      <c r="J334" s="595" t="s">
        <v>9</v>
      </c>
      <c r="K334" s="91">
        <v>1</v>
      </c>
      <c r="L334" s="91">
        <v>3</v>
      </c>
      <c r="M334" s="92">
        <v>33</v>
      </c>
      <c r="N334" s="119" t="str">
        <f>VLOOKUP(M334,'PF Uscite Sp. Corr.'!$C$1:$E$100,2,FALSE)</f>
        <v>Flora e Fauna</v>
      </c>
      <c r="O334" s="131">
        <v>1420</v>
      </c>
      <c r="P334" s="614" t="str">
        <f>VLOOKUP(O334,'Centri di Costo'!$A$2:$B$179,2,FALSE)</f>
        <v xml:space="preserve">Pradon - Totale Attività Ordinaria </v>
      </c>
      <c r="Q334" s="623" t="s">
        <v>1997</v>
      </c>
      <c r="R334" s="642" t="s">
        <v>815</v>
      </c>
    </row>
    <row r="335" spans="1:18" ht="27.75" customHeight="1" outlineLevel="2">
      <c r="A335" s="85" t="s">
        <v>588</v>
      </c>
      <c r="B335" s="400" t="s">
        <v>1863</v>
      </c>
      <c r="C335" s="85" t="s">
        <v>759</v>
      </c>
      <c r="D335" s="148" t="s">
        <v>7</v>
      </c>
      <c r="E335" s="87">
        <v>2018</v>
      </c>
      <c r="F335" s="88">
        <v>60</v>
      </c>
      <c r="G335" s="120" t="s">
        <v>823</v>
      </c>
      <c r="H335" s="581" t="s">
        <v>2030</v>
      </c>
      <c r="I335" s="601">
        <v>1000</v>
      </c>
      <c r="J335" s="595" t="s">
        <v>9</v>
      </c>
      <c r="K335" s="91">
        <v>1</v>
      </c>
      <c r="L335" s="91">
        <v>3</v>
      </c>
      <c r="M335" s="92">
        <v>44</v>
      </c>
      <c r="N335" s="119" t="str">
        <f>VLOOKUP(M335,'PF Uscite Sp. Corr.'!$C$1:$E$100,2,FALSE)</f>
        <v>Acquisto di servizi per formazione e addestramento del personale dell'ente</v>
      </c>
      <c r="O335" s="131">
        <v>1420</v>
      </c>
      <c r="P335" s="614" t="str">
        <f>VLOOKUP(O335,'Centri di Costo'!$A$2:$B$179,2,FALSE)</f>
        <v xml:space="preserve">Pradon - Totale Attività Ordinaria </v>
      </c>
      <c r="Q335" s="623" t="s">
        <v>1997</v>
      </c>
      <c r="R335" s="642" t="s">
        <v>156</v>
      </c>
    </row>
    <row r="336" spans="1:18" ht="28.5" customHeight="1" outlineLevel="2">
      <c r="A336" s="85" t="s">
        <v>588</v>
      </c>
      <c r="B336" s="400" t="s">
        <v>1863</v>
      </c>
      <c r="C336" s="85" t="s">
        <v>759</v>
      </c>
      <c r="D336" s="148" t="s">
        <v>7</v>
      </c>
      <c r="E336" s="87">
        <v>2018</v>
      </c>
      <c r="F336" s="88">
        <v>60</v>
      </c>
      <c r="G336" s="120" t="s">
        <v>823</v>
      </c>
      <c r="H336" s="581" t="s">
        <v>64</v>
      </c>
      <c r="I336" s="601">
        <v>1000</v>
      </c>
      <c r="J336" s="595" t="s">
        <v>9</v>
      </c>
      <c r="K336" s="91">
        <v>1</v>
      </c>
      <c r="L336" s="91">
        <v>3</v>
      </c>
      <c r="M336" s="92">
        <v>45</v>
      </c>
      <c r="N336" s="119" t="str">
        <f>VLOOKUP(M336,'PF Uscite Sp. Corr.'!$C$1:$E$100,2,FALSE)</f>
        <v>Utenze e canoni</v>
      </c>
      <c r="O336" s="131">
        <v>1420</v>
      </c>
      <c r="P336" s="614" t="str">
        <f>VLOOKUP(O336,'Centri di Costo'!$A$2:$B$179,2,FALSE)</f>
        <v xml:space="preserve">Pradon - Totale Attività Ordinaria </v>
      </c>
      <c r="Q336" s="623" t="s">
        <v>1997</v>
      </c>
      <c r="R336" s="642" t="s">
        <v>65</v>
      </c>
    </row>
    <row r="337" spans="1:18" ht="28.5" customHeight="1" outlineLevel="2">
      <c r="A337" s="85" t="s">
        <v>588</v>
      </c>
      <c r="B337" s="400" t="s">
        <v>1863</v>
      </c>
      <c r="C337" s="85" t="s">
        <v>759</v>
      </c>
      <c r="D337" s="148" t="s">
        <v>7</v>
      </c>
      <c r="E337" s="87">
        <v>2018</v>
      </c>
      <c r="F337" s="88">
        <v>60</v>
      </c>
      <c r="G337" s="120" t="s">
        <v>823</v>
      </c>
      <c r="H337" s="581" t="s">
        <v>57</v>
      </c>
      <c r="I337" s="601">
        <v>13000</v>
      </c>
      <c r="J337" s="595" t="s">
        <v>9</v>
      </c>
      <c r="K337" s="91">
        <v>1</v>
      </c>
      <c r="L337" s="91">
        <v>3</v>
      </c>
      <c r="M337" s="92">
        <v>45</v>
      </c>
      <c r="N337" s="119" t="str">
        <f>VLOOKUP(M337,'PF Uscite Sp. Corr.'!$C$1:$E$100,2,FALSE)</f>
        <v>Utenze e canoni</v>
      </c>
      <c r="O337" s="131">
        <v>1420</v>
      </c>
      <c r="P337" s="614" t="str">
        <f>VLOOKUP(O337,'Centri di Costo'!$A$2:$B$179,2,FALSE)</f>
        <v xml:space="preserve">Pradon - Totale Attività Ordinaria </v>
      </c>
      <c r="Q337" s="623" t="s">
        <v>1997</v>
      </c>
      <c r="R337" s="642" t="s">
        <v>58</v>
      </c>
    </row>
    <row r="338" spans="1:18" ht="28.5" customHeight="1" outlineLevel="2">
      <c r="A338" s="85" t="s">
        <v>588</v>
      </c>
      <c r="B338" s="400" t="s">
        <v>1863</v>
      </c>
      <c r="C338" s="85" t="s">
        <v>759</v>
      </c>
      <c r="D338" s="148" t="s">
        <v>7</v>
      </c>
      <c r="E338" s="87">
        <v>2018</v>
      </c>
      <c r="F338" s="88">
        <v>60</v>
      </c>
      <c r="G338" s="120" t="s">
        <v>823</v>
      </c>
      <c r="H338" s="581" t="s">
        <v>845</v>
      </c>
      <c r="I338" s="601">
        <v>500</v>
      </c>
      <c r="J338" s="595" t="s">
        <v>9</v>
      </c>
      <c r="K338" s="91">
        <v>1</v>
      </c>
      <c r="L338" s="91">
        <v>3</v>
      </c>
      <c r="M338" s="92">
        <v>45</v>
      </c>
      <c r="N338" s="119" t="str">
        <f>VLOOKUP(M338,'PF Uscite Sp. Corr.'!$C$1:$E$100,2,FALSE)</f>
        <v>Utenze e canoni</v>
      </c>
      <c r="O338" s="131">
        <v>1420</v>
      </c>
      <c r="P338" s="614" t="str">
        <f>VLOOKUP(O338,'Centri di Costo'!$A$2:$B$179,2,FALSE)</f>
        <v xml:space="preserve">Pradon - Totale Attività Ordinaria </v>
      </c>
      <c r="Q338" s="623" t="s">
        <v>1997</v>
      </c>
      <c r="R338" s="642" t="s">
        <v>105</v>
      </c>
    </row>
    <row r="339" spans="1:18" ht="28.5" customHeight="1" outlineLevel="2">
      <c r="A339" s="85" t="s">
        <v>588</v>
      </c>
      <c r="B339" s="400" t="s">
        <v>1863</v>
      </c>
      <c r="C339" s="85" t="s">
        <v>759</v>
      </c>
      <c r="D339" s="148" t="s">
        <v>7</v>
      </c>
      <c r="E339" s="87">
        <v>2018</v>
      </c>
      <c r="F339" s="88">
        <v>60</v>
      </c>
      <c r="G339" s="120" t="s">
        <v>823</v>
      </c>
      <c r="H339" s="581" t="s">
        <v>744</v>
      </c>
      <c r="I339" s="601">
        <v>800</v>
      </c>
      <c r="J339" s="595" t="s">
        <v>9</v>
      </c>
      <c r="K339" s="91">
        <v>1</v>
      </c>
      <c r="L339" s="91">
        <v>3</v>
      </c>
      <c r="M339" s="92">
        <v>45</v>
      </c>
      <c r="N339" s="119" t="str">
        <f>VLOOKUP(M339,'PF Uscite Sp. Corr.'!$C$1:$E$100,2,FALSE)</f>
        <v>Utenze e canoni</v>
      </c>
      <c r="O339" s="131">
        <v>1420</v>
      </c>
      <c r="P339" s="614" t="str">
        <f>VLOOKUP(O339,'Centri di Costo'!$A$2:$B$179,2,FALSE)</f>
        <v xml:space="preserve">Pradon - Totale Attività Ordinaria </v>
      </c>
      <c r="Q339" s="623" t="s">
        <v>1997</v>
      </c>
      <c r="R339" s="642" t="s">
        <v>67</v>
      </c>
    </row>
    <row r="340" spans="1:18" ht="28.5" customHeight="1" outlineLevel="2">
      <c r="A340" s="85" t="s">
        <v>588</v>
      </c>
      <c r="B340" s="400" t="s">
        <v>1863</v>
      </c>
      <c r="C340" s="85" t="s">
        <v>759</v>
      </c>
      <c r="D340" s="148" t="s">
        <v>7</v>
      </c>
      <c r="E340" s="87">
        <v>2018</v>
      </c>
      <c r="F340" s="88">
        <v>60</v>
      </c>
      <c r="G340" s="120" t="s">
        <v>823</v>
      </c>
      <c r="H340" s="581" t="s">
        <v>62</v>
      </c>
      <c r="I340" s="601">
        <v>9000</v>
      </c>
      <c r="J340" s="595" t="s">
        <v>9</v>
      </c>
      <c r="K340" s="91">
        <v>1</v>
      </c>
      <c r="L340" s="91">
        <v>3</v>
      </c>
      <c r="M340" s="92">
        <v>45</v>
      </c>
      <c r="N340" s="119" t="str">
        <f>VLOOKUP(M340,'PF Uscite Sp. Corr.'!$C$1:$E$100,2,FALSE)</f>
        <v>Utenze e canoni</v>
      </c>
      <c r="O340" s="131">
        <v>1420</v>
      </c>
      <c r="P340" s="614" t="str">
        <f>VLOOKUP(O340,'Centri di Costo'!$A$2:$B$179,2,FALSE)</f>
        <v xml:space="preserve">Pradon - Totale Attività Ordinaria </v>
      </c>
      <c r="Q340" s="624" t="s">
        <v>2014</v>
      </c>
      <c r="R340" s="642" t="s">
        <v>63</v>
      </c>
    </row>
    <row r="341" spans="1:18" ht="28.5" customHeight="1" outlineLevel="2">
      <c r="A341" s="85" t="s">
        <v>588</v>
      </c>
      <c r="B341" s="400" t="s">
        <v>1863</v>
      </c>
      <c r="C341" s="85" t="s">
        <v>759</v>
      </c>
      <c r="D341" s="148" t="s">
        <v>7</v>
      </c>
      <c r="E341" s="87">
        <v>2018</v>
      </c>
      <c r="F341" s="88">
        <v>60</v>
      </c>
      <c r="G341" s="120" t="s">
        <v>823</v>
      </c>
      <c r="H341" s="581" t="s">
        <v>851</v>
      </c>
      <c r="I341" s="601">
        <v>250</v>
      </c>
      <c r="J341" s="595" t="s">
        <v>9</v>
      </c>
      <c r="K341" s="91">
        <v>1</v>
      </c>
      <c r="L341" s="91">
        <v>3</v>
      </c>
      <c r="M341" s="92">
        <v>45</v>
      </c>
      <c r="N341" s="119" t="str">
        <f>VLOOKUP(M341,'PF Uscite Sp. Corr.'!$C$1:$E$100,2,FALSE)</f>
        <v>Utenze e canoni</v>
      </c>
      <c r="O341" s="131">
        <v>1420</v>
      </c>
      <c r="P341" s="614" t="str">
        <f>VLOOKUP(O341,'Centri di Costo'!$A$2:$B$179,2,FALSE)</f>
        <v xml:space="preserve">Pradon - Totale Attività Ordinaria </v>
      </c>
      <c r="Q341" s="624" t="s">
        <v>2014</v>
      </c>
      <c r="R341" s="642" t="s">
        <v>75</v>
      </c>
    </row>
    <row r="342" spans="1:18" ht="28.5" customHeight="1" outlineLevel="2">
      <c r="A342" s="85" t="s">
        <v>588</v>
      </c>
      <c r="B342" s="400" t="s">
        <v>1863</v>
      </c>
      <c r="C342" s="85" t="s">
        <v>759</v>
      </c>
      <c r="D342" s="148" t="s">
        <v>7</v>
      </c>
      <c r="E342" s="87">
        <v>2018</v>
      </c>
      <c r="F342" s="88">
        <v>60</v>
      </c>
      <c r="G342" s="120" t="s">
        <v>823</v>
      </c>
      <c r="H342" s="581" t="s">
        <v>880</v>
      </c>
      <c r="I342" s="607">
        <f>450+250</f>
        <v>700</v>
      </c>
      <c r="J342" s="595" t="s">
        <v>9</v>
      </c>
      <c r="K342" s="91">
        <v>1</v>
      </c>
      <c r="L342" s="91">
        <v>3</v>
      </c>
      <c r="M342" s="92">
        <v>47</v>
      </c>
      <c r="N342" s="119" t="str">
        <f>VLOOKUP(M342,'PF Uscite Sp. Corr.'!$C$1:$E$100,2,FALSE)</f>
        <v>Utilizzo di beni di terzi</v>
      </c>
      <c r="O342" s="131">
        <v>1420</v>
      </c>
      <c r="P342" s="614" t="str">
        <f>VLOOKUP(O342,'Centri di Costo'!$A$2:$B$179,2,FALSE)</f>
        <v xml:space="preserve">Pradon - Totale Attività Ordinaria </v>
      </c>
      <c r="Q342" s="623" t="s">
        <v>1997</v>
      </c>
      <c r="R342" s="642" t="s">
        <v>80</v>
      </c>
    </row>
    <row r="343" spans="1:18" ht="28.5" customHeight="1" outlineLevel="2">
      <c r="A343" s="85" t="s">
        <v>588</v>
      </c>
      <c r="B343" s="400" t="s">
        <v>1863</v>
      </c>
      <c r="C343" s="85" t="s">
        <v>759</v>
      </c>
      <c r="D343" s="148" t="s">
        <v>7</v>
      </c>
      <c r="E343" s="87">
        <v>2018</v>
      </c>
      <c r="F343" s="88">
        <v>60</v>
      </c>
      <c r="G343" s="120" t="s">
        <v>823</v>
      </c>
      <c r="H343" s="581" t="s">
        <v>826</v>
      </c>
      <c r="I343" s="601">
        <v>1000</v>
      </c>
      <c r="J343" s="595" t="s">
        <v>9</v>
      </c>
      <c r="K343" s="91">
        <v>1</v>
      </c>
      <c r="L343" s="91">
        <v>3</v>
      </c>
      <c r="M343" s="92">
        <v>49</v>
      </c>
      <c r="N343" s="119" t="str">
        <f>VLOOKUP(M343,'PF Uscite Sp. Corr.'!$C$1:$E$100,2,FALSE)</f>
        <v>Manutenzione ordinaria e riparazioni</v>
      </c>
      <c r="O343" s="131">
        <v>1420</v>
      </c>
      <c r="P343" s="614" t="str">
        <f>VLOOKUP(O343,'Centri di Costo'!$A$2:$B$179,2,FALSE)</f>
        <v xml:space="preserve">Pradon - Totale Attività Ordinaria </v>
      </c>
      <c r="Q343" s="623" t="s">
        <v>1997</v>
      </c>
      <c r="R343" s="642" t="s">
        <v>99</v>
      </c>
    </row>
    <row r="344" spans="1:18" ht="28.5" customHeight="1" outlineLevel="2">
      <c r="A344" s="85" t="s">
        <v>588</v>
      </c>
      <c r="B344" s="400" t="s">
        <v>1863</v>
      </c>
      <c r="C344" s="85" t="s">
        <v>759</v>
      </c>
      <c r="D344" s="148" t="s">
        <v>7</v>
      </c>
      <c r="E344" s="87">
        <v>2018</v>
      </c>
      <c r="F344" s="88">
        <v>60</v>
      </c>
      <c r="G344" s="120" t="s">
        <v>823</v>
      </c>
      <c r="H344" s="581" t="s">
        <v>827</v>
      </c>
      <c r="I344" s="601">
        <v>1000</v>
      </c>
      <c r="J344" s="595" t="s">
        <v>9</v>
      </c>
      <c r="K344" s="91">
        <v>1</v>
      </c>
      <c r="L344" s="91">
        <v>3</v>
      </c>
      <c r="M344" s="92">
        <v>49</v>
      </c>
      <c r="N344" s="119" t="str">
        <f>VLOOKUP(M344,'PF Uscite Sp. Corr.'!$C$1:$E$100,2,FALSE)</f>
        <v>Manutenzione ordinaria e riparazioni</v>
      </c>
      <c r="O344" s="131">
        <v>1420</v>
      </c>
      <c r="P344" s="614" t="str">
        <f>VLOOKUP(O344,'Centri di Costo'!$A$2:$B$179,2,FALSE)</f>
        <v xml:space="preserve">Pradon - Totale Attività Ordinaria </v>
      </c>
      <c r="Q344" s="623" t="s">
        <v>1997</v>
      </c>
      <c r="R344" s="642" t="s">
        <v>647</v>
      </c>
    </row>
    <row r="345" spans="1:18" ht="28.5" customHeight="1" outlineLevel="2">
      <c r="A345" s="85" t="s">
        <v>588</v>
      </c>
      <c r="B345" s="400" t="s">
        <v>1863</v>
      </c>
      <c r="C345" s="85" t="s">
        <v>759</v>
      </c>
      <c r="D345" s="148" t="s">
        <v>7</v>
      </c>
      <c r="E345" s="87">
        <v>2018</v>
      </c>
      <c r="F345" s="88">
        <v>60</v>
      </c>
      <c r="G345" s="120" t="s">
        <v>823</v>
      </c>
      <c r="H345" s="581" t="s">
        <v>828</v>
      </c>
      <c r="I345" s="601">
        <v>1000</v>
      </c>
      <c r="J345" s="595" t="s">
        <v>9</v>
      </c>
      <c r="K345" s="91">
        <v>1</v>
      </c>
      <c r="L345" s="91">
        <v>3</v>
      </c>
      <c r="M345" s="92">
        <v>49</v>
      </c>
      <c r="N345" s="119" t="str">
        <f>VLOOKUP(M345,'PF Uscite Sp. Corr.'!$C$1:$E$100,2,FALSE)</f>
        <v>Manutenzione ordinaria e riparazioni</v>
      </c>
      <c r="O345" s="131">
        <v>1420</v>
      </c>
      <c r="P345" s="614" t="str">
        <f>VLOOKUP(O345,'Centri di Costo'!$A$2:$B$179,2,FALSE)</f>
        <v xml:space="preserve">Pradon - Totale Attività Ordinaria </v>
      </c>
      <c r="Q345" s="623" t="s">
        <v>1997</v>
      </c>
      <c r="R345" s="642" t="s">
        <v>612</v>
      </c>
    </row>
    <row r="346" spans="1:18" ht="28.5" customHeight="1" outlineLevel="2">
      <c r="A346" s="85" t="s">
        <v>588</v>
      </c>
      <c r="B346" s="400" t="s">
        <v>1863</v>
      </c>
      <c r="C346" s="85" t="s">
        <v>759</v>
      </c>
      <c r="D346" s="148" t="s">
        <v>7</v>
      </c>
      <c r="E346" s="87">
        <v>2018</v>
      </c>
      <c r="F346" s="88">
        <v>60</v>
      </c>
      <c r="G346" s="120" t="s">
        <v>823</v>
      </c>
      <c r="H346" s="581" t="s">
        <v>829</v>
      </c>
      <c r="I346" s="601">
        <v>3500</v>
      </c>
      <c r="J346" s="595" t="s">
        <v>9</v>
      </c>
      <c r="K346" s="91">
        <v>1</v>
      </c>
      <c r="L346" s="91">
        <v>3</v>
      </c>
      <c r="M346" s="92">
        <v>49</v>
      </c>
      <c r="N346" s="119" t="str">
        <f>VLOOKUP(M346,'PF Uscite Sp. Corr.'!$C$1:$E$100,2,FALSE)</f>
        <v>Manutenzione ordinaria e riparazioni</v>
      </c>
      <c r="O346" s="131">
        <v>1420</v>
      </c>
      <c r="P346" s="614" t="str">
        <f>VLOOKUP(O346,'Centri di Costo'!$A$2:$B$179,2,FALSE)</f>
        <v xml:space="preserve">Pradon - Totale Attività Ordinaria </v>
      </c>
      <c r="Q346" s="623" t="s">
        <v>1997</v>
      </c>
      <c r="R346" s="642" t="s">
        <v>93</v>
      </c>
    </row>
    <row r="347" spans="1:18" ht="28.5" customHeight="1" outlineLevel="2">
      <c r="A347" s="85" t="s">
        <v>588</v>
      </c>
      <c r="B347" s="400" t="s">
        <v>1863</v>
      </c>
      <c r="C347" s="85" t="s">
        <v>759</v>
      </c>
      <c r="D347" s="148" t="s">
        <v>7</v>
      </c>
      <c r="E347" s="87">
        <v>2018</v>
      </c>
      <c r="F347" s="88">
        <v>60</v>
      </c>
      <c r="G347" s="120" t="s">
        <v>823</v>
      </c>
      <c r="H347" s="581" t="s">
        <v>831</v>
      </c>
      <c r="I347" s="601">
        <v>1000</v>
      </c>
      <c r="J347" s="595" t="s">
        <v>9</v>
      </c>
      <c r="K347" s="91">
        <v>1</v>
      </c>
      <c r="L347" s="91">
        <v>3</v>
      </c>
      <c r="M347" s="92">
        <v>49</v>
      </c>
      <c r="N347" s="119" t="str">
        <f>VLOOKUP(M347,'PF Uscite Sp. Corr.'!$C$1:$E$100,2,FALSE)</f>
        <v>Manutenzione ordinaria e riparazioni</v>
      </c>
      <c r="O347" s="131">
        <v>1420</v>
      </c>
      <c r="P347" s="614" t="str">
        <f>VLOOKUP(O347,'Centri di Costo'!$A$2:$B$179,2,FALSE)</f>
        <v xml:space="preserve">Pradon - Totale Attività Ordinaria </v>
      </c>
      <c r="Q347" s="623" t="s">
        <v>1997</v>
      </c>
      <c r="R347" s="642" t="s">
        <v>111</v>
      </c>
    </row>
    <row r="348" spans="1:18" ht="28.5" customHeight="1" outlineLevel="2">
      <c r="A348" s="85" t="s">
        <v>588</v>
      </c>
      <c r="B348" s="400" t="s">
        <v>1863</v>
      </c>
      <c r="C348" s="85" t="s">
        <v>759</v>
      </c>
      <c r="D348" s="148" t="s">
        <v>7</v>
      </c>
      <c r="E348" s="87">
        <v>2018</v>
      </c>
      <c r="F348" s="88">
        <v>60</v>
      </c>
      <c r="G348" s="120" t="s">
        <v>823</v>
      </c>
      <c r="H348" s="581" t="s">
        <v>832</v>
      </c>
      <c r="I348" s="601">
        <v>5000</v>
      </c>
      <c r="J348" s="595" t="s">
        <v>9</v>
      </c>
      <c r="K348" s="91">
        <v>1</v>
      </c>
      <c r="L348" s="91">
        <v>3</v>
      </c>
      <c r="M348" s="92">
        <v>49</v>
      </c>
      <c r="N348" s="119" t="str">
        <f>VLOOKUP(M348,'PF Uscite Sp. Corr.'!$C$1:$E$100,2,FALSE)</f>
        <v>Manutenzione ordinaria e riparazioni</v>
      </c>
      <c r="O348" s="131">
        <v>1420</v>
      </c>
      <c r="P348" s="614" t="str">
        <f>VLOOKUP(O348,'Centri di Costo'!$A$2:$B$179,2,FALSE)</f>
        <v xml:space="preserve">Pradon - Totale Attività Ordinaria </v>
      </c>
      <c r="Q348" s="623" t="s">
        <v>1997</v>
      </c>
      <c r="R348" s="642" t="s">
        <v>409</v>
      </c>
    </row>
    <row r="349" spans="1:18" ht="28.5" customHeight="1" outlineLevel="2">
      <c r="A349" s="85" t="s">
        <v>588</v>
      </c>
      <c r="B349" s="400" t="s">
        <v>1863</v>
      </c>
      <c r="C349" s="85" t="s">
        <v>759</v>
      </c>
      <c r="D349" s="148" t="s">
        <v>7</v>
      </c>
      <c r="E349" s="87">
        <v>2018</v>
      </c>
      <c r="F349" s="88">
        <v>60</v>
      </c>
      <c r="G349" s="120" t="s">
        <v>823</v>
      </c>
      <c r="H349" s="581" t="s">
        <v>825</v>
      </c>
      <c r="I349" s="601">
        <v>500</v>
      </c>
      <c r="J349" s="595" t="s">
        <v>9</v>
      </c>
      <c r="K349" s="91">
        <v>1</v>
      </c>
      <c r="L349" s="91">
        <v>3</v>
      </c>
      <c r="M349" s="92">
        <v>51</v>
      </c>
      <c r="N349" s="119" t="str">
        <f>VLOOKUP(M349,'PF Uscite Sp. Corr.'!$C$1:$E$100,2,FALSE)</f>
        <v>Prestazioni professionali e specialistiche</v>
      </c>
      <c r="O349" s="131">
        <v>1420</v>
      </c>
      <c r="P349" s="614" t="str">
        <f>VLOOKUP(O349,'Centri di Costo'!$A$2:$B$179,2,FALSE)</f>
        <v xml:space="preserve">Pradon - Totale Attività Ordinaria </v>
      </c>
      <c r="Q349" s="623" t="s">
        <v>1997</v>
      </c>
      <c r="R349" s="642" t="s">
        <v>87</v>
      </c>
    </row>
    <row r="350" spans="1:18" ht="28.5" customHeight="1" outlineLevel="2">
      <c r="A350" s="85" t="s">
        <v>588</v>
      </c>
      <c r="B350" s="400" t="s">
        <v>1863</v>
      </c>
      <c r="C350" s="85" t="s">
        <v>759</v>
      </c>
      <c r="D350" s="148" t="s">
        <v>7</v>
      </c>
      <c r="E350" s="87">
        <v>2018</v>
      </c>
      <c r="F350" s="88">
        <v>60</v>
      </c>
      <c r="G350" s="120" t="s">
        <v>823</v>
      </c>
      <c r="H350" s="581" t="s">
        <v>856</v>
      </c>
      <c r="I350" s="601">
        <f>3000-250</f>
        <v>2750</v>
      </c>
      <c r="J350" s="595" t="s">
        <v>9</v>
      </c>
      <c r="K350" s="91">
        <v>1</v>
      </c>
      <c r="L350" s="91">
        <v>3</v>
      </c>
      <c r="M350" s="92">
        <v>51</v>
      </c>
      <c r="N350" s="119" t="str">
        <f>VLOOKUP(M350,'PF Uscite Sp. Corr.'!$C$1:$E$100,2,FALSE)</f>
        <v>Prestazioni professionali e specialistiche</v>
      </c>
      <c r="O350" s="131">
        <v>1420</v>
      </c>
      <c r="P350" s="614" t="str">
        <f>VLOOKUP(O350,'Centri di Costo'!$A$2:$B$179,2,FALSE)</f>
        <v xml:space="preserve">Pradon - Totale Attività Ordinaria </v>
      </c>
      <c r="Q350" s="619" t="s">
        <v>2029</v>
      </c>
      <c r="R350" s="642" t="s">
        <v>414</v>
      </c>
    </row>
    <row r="351" spans="1:18" ht="28.5" customHeight="1" outlineLevel="2">
      <c r="A351" s="85" t="s">
        <v>588</v>
      </c>
      <c r="B351" s="400" t="s">
        <v>1863</v>
      </c>
      <c r="C351" s="85" t="s">
        <v>759</v>
      </c>
      <c r="D351" s="148" t="s">
        <v>7</v>
      </c>
      <c r="E351" s="87">
        <v>2018</v>
      </c>
      <c r="F351" s="88">
        <v>61</v>
      </c>
      <c r="G351" s="120" t="s">
        <v>857</v>
      </c>
      <c r="H351" s="581" t="s">
        <v>858</v>
      </c>
      <c r="I351" s="601">
        <v>5124</v>
      </c>
      <c r="J351" s="595" t="s">
        <v>9</v>
      </c>
      <c r="K351" s="91">
        <v>1</v>
      </c>
      <c r="L351" s="91">
        <v>3</v>
      </c>
      <c r="M351" s="92">
        <v>51</v>
      </c>
      <c r="N351" s="119" t="str">
        <f>VLOOKUP(M351,'PF Uscite Sp. Corr.'!$C$1:$E$100,2,FALSE)</f>
        <v>Prestazioni professionali e specialistiche</v>
      </c>
      <c r="O351" s="131">
        <v>1420</v>
      </c>
      <c r="P351" s="614" t="str">
        <f>VLOOKUP(O351,'Centri di Costo'!$A$2:$B$179,2,FALSE)</f>
        <v xml:space="preserve">Pradon - Totale Attività Ordinaria </v>
      </c>
      <c r="Q351" s="623" t="s">
        <v>1997</v>
      </c>
      <c r="R351" s="642" t="s">
        <v>756</v>
      </c>
    </row>
    <row r="352" spans="1:18" ht="28.5" customHeight="1" outlineLevel="2">
      <c r="A352" s="85" t="s">
        <v>588</v>
      </c>
      <c r="B352" s="400" t="s">
        <v>1863</v>
      </c>
      <c r="C352" s="85" t="s">
        <v>759</v>
      </c>
      <c r="D352" s="148" t="s">
        <v>7</v>
      </c>
      <c r="E352" s="87">
        <v>2018</v>
      </c>
      <c r="F352" s="88">
        <v>62</v>
      </c>
      <c r="G352" s="120" t="s">
        <v>859</v>
      </c>
      <c r="H352" s="581" t="s">
        <v>860</v>
      </c>
      <c r="I352" s="601">
        <v>5124</v>
      </c>
      <c r="J352" s="595" t="s">
        <v>9</v>
      </c>
      <c r="K352" s="91">
        <v>1</v>
      </c>
      <c r="L352" s="91">
        <v>3</v>
      </c>
      <c r="M352" s="92">
        <v>51</v>
      </c>
      <c r="N352" s="119" t="str">
        <f>VLOOKUP(M352,'PF Uscite Sp. Corr.'!$C$1:$E$100,2,FALSE)</f>
        <v>Prestazioni professionali e specialistiche</v>
      </c>
      <c r="O352" s="131">
        <v>1420</v>
      </c>
      <c r="P352" s="614" t="str">
        <f>VLOOKUP(O352,'Centri di Costo'!$A$2:$B$179,2,FALSE)</f>
        <v xml:space="preserve">Pradon - Totale Attività Ordinaria </v>
      </c>
      <c r="Q352" s="623" t="s">
        <v>1997</v>
      </c>
      <c r="R352" s="642" t="s">
        <v>756</v>
      </c>
    </row>
    <row r="353" spans="1:18" ht="28.5" customHeight="1" outlineLevel="2">
      <c r="A353" s="85" t="s">
        <v>588</v>
      </c>
      <c r="B353" s="400" t="s">
        <v>1863</v>
      </c>
      <c r="C353" s="85" t="s">
        <v>759</v>
      </c>
      <c r="D353" s="148" t="s">
        <v>7</v>
      </c>
      <c r="E353" s="87">
        <v>2018</v>
      </c>
      <c r="F353" s="88">
        <v>60</v>
      </c>
      <c r="G353" s="120" t="s">
        <v>823</v>
      </c>
      <c r="H353" s="581" t="s">
        <v>824</v>
      </c>
      <c r="I353" s="601">
        <v>300</v>
      </c>
      <c r="J353" s="595" t="s">
        <v>9</v>
      </c>
      <c r="K353" s="91">
        <v>1</v>
      </c>
      <c r="L353" s="91">
        <v>3</v>
      </c>
      <c r="M353" s="92">
        <v>53</v>
      </c>
      <c r="N353" s="119" t="str">
        <f>VLOOKUP(M353,'PF Uscite Sp. Corr.'!$C$1:$E$100,2,FALSE)</f>
        <v>Servizi ausiliari per il funzionamento dell'ente</v>
      </c>
      <c r="O353" s="131">
        <v>1420</v>
      </c>
      <c r="P353" s="614" t="str">
        <f>VLOOKUP(O353,'Centri di Costo'!$A$2:$B$179,2,FALSE)</f>
        <v xml:space="preserve">Pradon - Totale Attività Ordinaria </v>
      </c>
      <c r="Q353" s="623" t="s">
        <v>1997</v>
      </c>
      <c r="R353" s="642" t="s">
        <v>454</v>
      </c>
    </row>
    <row r="354" spans="1:18" ht="28.5" customHeight="1" outlineLevel="2">
      <c r="A354" s="85" t="s">
        <v>588</v>
      </c>
      <c r="B354" s="400" t="s">
        <v>1863</v>
      </c>
      <c r="C354" s="85" t="s">
        <v>759</v>
      </c>
      <c r="D354" s="148" t="s">
        <v>7</v>
      </c>
      <c r="E354" s="87">
        <v>2018</v>
      </c>
      <c r="F354" s="88">
        <v>60</v>
      </c>
      <c r="G354" s="120" t="s">
        <v>823</v>
      </c>
      <c r="H354" s="581" t="s">
        <v>830</v>
      </c>
      <c r="I354" s="601">
        <v>600</v>
      </c>
      <c r="J354" s="595" t="s">
        <v>9</v>
      </c>
      <c r="K354" s="91">
        <v>1</v>
      </c>
      <c r="L354" s="91">
        <v>3</v>
      </c>
      <c r="M354" s="92">
        <v>53</v>
      </c>
      <c r="N354" s="119" t="str">
        <f>VLOOKUP(M354,'PF Uscite Sp. Corr.'!$C$1:$E$100,2,FALSE)</f>
        <v>Servizi ausiliari per il funzionamento dell'ente</v>
      </c>
      <c r="O354" s="131">
        <v>1420</v>
      </c>
      <c r="P354" s="614" t="str">
        <f>VLOOKUP(O354,'Centri di Costo'!$A$2:$B$179,2,FALSE)</f>
        <v xml:space="preserve">Pradon - Totale Attività Ordinaria </v>
      </c>
      <c r="Q354" s="623" t="s">
        <v>1997</v>
      </c>
      <c r="R354" s="642" t="s">
        <v>479</v>
      </c>
    </row>
    <row r="355" spans="1:18" ht="28.5" customHeight="1" outlineLevel="2">
      <c r="A355" s="85" t="s">
        <v>588</v>
      </c>
      <c r="B355" s="400" t="s">
        <v>1863</v>
      </c>
      <c r="C355" s="85" t="s">
        <v>759</v>
      </c>
      <c r="D355" s="148" t="s">
        <v>7</v>
      </c>
      <c r="E355" s="87">
        <v>2018</v>
      </c>
      <c r="F355" s="88">
        <v>60</v>
      </c>
      <c r="G355" s="120" t="s">
        <v>823</v>
      </c>
      <c r="H355" s="581" t="s">
        <v>833</v>
      </c>
      <c r="I355" s="601">
        <v>100</v>
      </c>
      <c r="J355" s="595" t="s">
        <v>9</v>
      </c>
      <c r="K355" s="91">
        <v>1</v>
      </c>
      <c r="L355" s="91">
        <v>3</v>
      </c>
      <c r="M355" s="92">
        <v>53</v>
      </c>
      <c r="N355" s="119" t="str">
        <f>VLOOKUP(M355,'PF Uscite Sp. Corr.'!$C$1:$E$100,2,FALSE)</f>
        <v>Servizi ausiliari per il funzionamento dell'ente</v>
      </c>
      <c r="O355" s="131">
        <v>1420</v>
      </c>
      <c r="P355" s="614" t="str">
        <f>VLOOKUP(O355,'Centri di Costo'!$A$2:$B$179,2,FALSE)</f>
        <v xml:space="preserve">Pradon - Totale Attività Ordinaria </v>
      </c>
      <c r="Q355" s="623" t="s">
        <v>1997</v>
      </c>
      <c r="R355" s="642" t="s">
        <v>770</v>
      </c>
    </row>
    <row r="356" spans="1:18" ht="28.5" customHeight="1" outlineLevel="2">
      <c r="A356" s="85" t="s">
        <v>588</v>
      </c>
      <c r="B356" s="400" t="s">
        <v>1863</v>
      </c>
      <c r="C356" s="85" t="s">
        <v>759</v>
      </c>
      <c r="D356" s="148" t="s">
        <v>7</v>
      </c>
      <c r="E356" s="87">
        <v>2018</v>
      </c>
      <c r="F356" s="88">
        <v>60</v>
      </c>
      <c r="G356" s="120" t="s">
        <v>823</v>
      </c>
      <c r="H356" s="581" t="s">
        <v>761</v>
      </c>
      <c r="I356" s="601">
        <v>130</v>
      </c>
      <c r="J356" s="595" t="s">
        <v>9</v>
      </c>
      <c r="K356" s="91">
        <v>1</v>
      </c>
      <c r="L356" s="91">
        <v>3</v>
      </c>
      <c r="M356" s="92">
        <v>56</v>
      </c>
      <c r="N356" s="119" t="str">
        <f>VLOOKUP(M356,'PF Uscite Sp. Corr.'!$C$1:$E$100,2,FALSE)</f>
        <v>Servizi amministrativi</v>
      </c>
      <c r="O356" s="131">
        <v>1420</v>
      </c>
      <c r="P356" s="614" t="str">
        <f>VLOOKUP(O356,'Centri di Costo'!$A$2:$B$179,2,FALSE)</f>
        <v xml:space="preserve">Pradon - Totale Attività Ordinaria </v>
      </c>
      <c r="Q356" s="623" t="s">
        <v>1997</v>
      </c>
      <c r="R356" s="642" t="s">
        <v>173</v>
      </c>
    </row>
    <row r="357" spans="1:18" ht="28.5" customHeight="1" outlineLevel="2">
      <c r="A357" s="85" t="s">
        <v>588</v>
      </c>
      <c r="B357" s="400" t="s">
        <v>1863</v>
      </c>
      <c r="C357" s="85" t="s">
        <v>759</v>
      </c>
      <c r="D357" s="148" t="s">
        <v>7</v>
      </c>
      <c r="E357" s="87">
        <v>2018</v>
      </c>
      <c r="F357" s="88">
        <v>60</v>
      </c>
      <c r="G357" s="120" t="s">
        <v>823</v>
      </c>
      <c r="H357" s="581" t="s">
        <v>834</v>
      </c>
      <c r="I357" s="601">
        <v>20</v>
      </c>
      <c r="J357" s="595" t="s">
        <v>9</v>
      </c>
      <c r="K357" s="91">
        <v>1</v>
      </c>
      <c r="L357" s="91">
        <v>3</v>
      </c>
      <c r="M357" s="92">
        <v>56</v>
      </c>
      <c r="N357" s="119" t="str">
        <f>VLOOKUP(M357,'PF Uscite Sp. Corr.'!$C$1:$E$100,2,FALSE)</f>
        <v>Servizi amministrativi</v>
      </c>
      <c r="O357" s="131">
        <v>1420</v>
      </c>
      <c r="P357" s="614" t="str">
        <f>VLOOKUP(O357,'Centri di Costo'!$A$2:$B$179,2,FALSE)</f>
        <v xml:space="preserve">Pradon - Totale Attività Ordinaria </v>
      </c>
      <c r="Q357" s="623" t="s">
        <v>1997</v>
      </c>
      <c r="R357" s="642" t="s">
        <v>79</v>
      </c>
    </row>
    <row r="358" spans="1:18" ht="28.5" customHeight="1" outlineLevel="2">
      <c r="A358" s="85" t="s">
        <v>89</v>
      </c>
      <c r="B358" s="400" t="s">
        <v>1863</v>
      </c>
      <c r="C358" s="85" t="s">
        <v>150</v>
      </c>
      <c r="D358" s="148" t="s">
        <v>7</v>
      </c>
      <c r="E358" s="87">
        <v>2018</v>
      </c>
      <c r="F358" s="88">
        <v>133</v>
      </c>
      <c r="G358" s="120" t="s">
        <v>200</v>
      </c>
      <c r="H358" s="581" t="s">
        <v>215</v>
      </c>
      <c r="I358" s="601">
        <v>1000</v>
      </c>
      <c r="J358" s="595" t="s">
        <v>9</v>
      </c>
      <c r="K358" s="91">
        <v>1</v>
      </c>
      <c r="L358" s="91">
        <v>3</v>
      </c>
      <c r="M358" s="92">
        <v>59</v>
      </c>
      <c r="N358" s="119" t="str">
        <f>VLOOKUP(M358,'PF Uscite Sp. Corr.'!$C$1:$E$100,2,FALSE)</f>
        <v>Servizi informatici e di telecomunicazioni</v>
      </c>
      <c r="O358" s="131">
        <v>1420</v>
      </c>
      <c r="P358" s="614" t="str">
        <f>VLOOKUP(O358,'Centri di Costo'!$A$2:$B$179,2,FALSE)</f>
        <v xml:space="preserve">Pradon - Totale Attività Ordinaria </v>
      </c>
      <c r="Q358" s="624" t="s">
        <v>2014</v>
      </c>
      <c r="R358" s="642" t="s">
        <v>202</v>
      </c>
    </row>
    <row r="359" spans="1:18" ht="28.5" customHeight="1" outlineLevel="2">
      <c r="A359" s="85" t="s">
        <v>588</v>
      </c>
      <c r="B359" s="400" t="s">
        <v>1863</v>
      </c>
      <c r="C359" s="85" t="s">
        <v>759</v>
      </c>
      <c r="D359" s="148" t="s">
        <v>7</v>
      </c>
      <c r="E359" s="87">
        <v>2018</v>
      </c>
      <c r="F359" s="88">
        <v>60</v>
      </c>
      <c r="G359" s="120" t="s">
        <v>823</v>
      </c>
      <c r="H359" s="581" t="s">
        <v>853</v>
      </c>
      <c r="I359" s="601">
        <v>2000</v>
      </c>
      <c r="J359" s="595" t="s">
        <v>9</v>
      </c>
      <c r="K359" s="91">
        <v>1</v>
      </c>
      <c r="L359" s="91">
        <v>10</v>
      </c>
      <c r="M359" s="92">
        <v>86</v>
      </c>
      <c r="N359" s="119" t="str">
        <f>VLOOKUP(M359,'PF Uscite Sp. Corr.'!$C$1:$E$100,2,FALSE)</f>
        <v>Premi di assicurazione contro i danni</v>
      </c>
      <c r="O359" s="131">
        <v>1420</v>
      </c>
      <c r="P359" s="614" t="str">
        <f>VLOOKUP(O359,'Centri di Costo'!$A$2:$B$179,2,FALSE)</f>
        <v xml:space="preserve">Pradon - Totale Attività Ordinaria </v>
      </c>
      <c r="Q359" s="623" t="s">
        <v>1996</v>
      </c>
      <c r="R359" s="642" t="s">
        <v>163</v>
      </c>
    </row>
    <row r="360" spans="1:18" s="139" customFormat="1" ht="28.5" customHeight="1" outlineLevel="2">
      <c r="A360" s="115" t="s">
        <v>588</v>
      </c>
      <c r="B360" s="401" t="s">
        <v>1863</v>
      </c>
      <c r="C360" s="115" t="s">
        <v>759</v>
      </c>
      <c r="D360" s="417" t="s">
        <v>7</v>
      </c>
      <c r="E360" s="412">
        <v>2018</v>
      </c>
      <c r="F360" s="413">
        <v>60</v>
      </c>
      <c r="G360" s="123" t="s">
        <v>823</v>
      </c>
      <c r="H360" s="583" t="s">
        <v>854</v>
      </c>
      <c r="I360" s="603">
        <v>4000</v>
      </c>
      <c r="J360" s="596" t="s">
        <v>9</v>
      </c>
      <c r="K360" s="216">
        <v>1</v>
      </c>
      <c r="L360" s="216">
        <v>10</v>
      </c>
      <c r="M360" s="418">
        <v>86</v>
      </c>
      <c r="N360" s="118" t="str">
        <f>VLOOKUP(M360,'PF Uscite Sp. Corr.'!$C$1:$E$100,2,FALSE)</f>
        <v>Premi di assicurazione contro i danni</v>
      </c>
      <c r="O360" s="419">
        <v>1420</v>
      </c>
      <c r="P360" s="615" t="str">
        <f>VLOOKUP(O360,'Centri di Costo'!$A$2:$B$179,2,FALSE)</f>
        <v xml:space="preserve">Pradon - Totale Attività Ordinaria </v>
      </c>
      <c r="Q360" s="624" t="s">
        <v>2014</v>
      </c>
      <c r="R360" s="648" t="s">
        <v>855</v>
      </c>
    </row>
    <row r="361" spans="1:18" s="215" customFormat="1" ht="20.25" customHeight="1" outlineLevel="1" collapsed="1">
      <c r="A361" s="160"/>
      <c r="B361" s="433" t="s">
        <v>1898</v>
      </c>
      <c r="C361" s="161"/>
      <c r="D361" s="437"/>
      <c r="E361" s="438"/>
      <c r="F361" s="438"/>
      <c r="G361" s="441" t="s">
        <v>1938</v>
      </c>
      <c r="H361" s="214" t="s">
        <v>1944</v>
      </c>
      <c r="I361" s="605">
        <f>SUBTOTAL(9,I295:I360)</f>
        <v>374498</v>
      </c>
      <c r="J361" s="212"/>
      <c r="K361" s="179"/>
      <c r="L361" s="179"/>
      <c r="M361" s="213"/>
      <c r="N361" s="434"/>
      <c r="O361" s="439"/>
      <c r="P361" s="435"/>
      <c r="Q361" s="620"/>
      <c r="R361" s="645"/>
    </row>
    <row r="362" spans="1:18" ht="28.5" customHeight="1" outlineLevel="2">
      <c r="A362" s="94" t="s">
        <v>588</v>
      </c>
      <c r="B362" s="402" t="s">
        <v>1864</v>
      </c>
      <c r="C362" s="94" t="s">
        <v>759</v>
      </c>
      <c r="D362" s="149" t="s">
        <v>7</v>
      </c>
      <c r="E362" s="101">
        <v>2018</v>
      </c>
      <c r="F362" s="102">
        <v>111</v>
      </c>
      <c r="G362" s="121" t="s">
        <v>867</v>
      </c>
      <c r="H362" s="580" t="s">
        <v>1095</v>
      </c>
      <c r="I362" s="600">
        <v>10000</v>
      </c>
      <c r="J362" s="594" t="s">
        <v>9</v>
      </c>
      <c r="K362" s="99">
        <v>1</v>
      </c>
      <c r="L362" s="99">
        <v>1</v>
      </c>
      <c r="M362" s="517" t="s">
        <v>1530</v>
      </c>
      <c r="N362" s="577" t="str">
        <f>VLOOKUP(M362,'PF Uscite Sp. Corr.'!$C$1:$E$100,2,FALSE)</f>
        <v>Salari, Oneri Sociali, Acc. TFR, Buoni Pasto (e IRAP su retribuz. se dovuta) OTD</v>
      </c>
      <c r="O362" s="132">
        <v>1430</v>
      </c>
      <c r="P362" s="613" t="str">
        <f>VLOOKUP(O362,'Centri di Costo'!$A$2:$B$179,2,FALSE)</f>
        <v xml:space="preserve">Conegliano - Totale Attività Ordinaria </v>
      </c>
      <c r="Q362" s="621" t="s">
        <v>1998</v>
      </c>
      <c r="R362" s="639" t="s">
        <v>484</v>
      </c>
    </row>
    <row r="363" spans="1:18" ht="28.5" customHeight="1" outlineLevel="2">
      <c r="A363" s="85" t="s">
        <v>588</v>
      </c>
      <c r="B363" s="402" t="s">
        <v>1864</v>
      </c>
      <c r="C363" s="85" t="s">
        <v>759</v>
      </c>
      <c r="D363" s="508" t="s">
        <v>561</v>
      </c>
      <c r="E363" s="87">
        <v>2018</v>
      </c>
      <c r="F363" s="88">
        <v>124</v>
      </c>
      <c r="G363" s="120" t="s">
        <v>882</v>
      </c>
      <c r="H363" s="581" t="s">
        <v>1095</v>
      </c>
      <c r="I363" s="601">
        <v>15000</v>
      </c>
      <c r="J363" s="595" t="s">
        <v>9</v>
      </c>
      <c r="K363" s="91">
        <v>1</v>
      </c>
      <c r="L363" s="91">
        <v>1</v>
      </c>
      <c r="M363" s="232" t="s">
        <v>1530</v>
      </c>
      <c r="N363" s="578" t="str">
        <f>VLOOKUP(M363,'PF Uscite Sp. Corr.'!$C$1:$E$100,2,FALSE)</f>
        <v>Salari, Oneri Sociali, Acc. TFR, Buoni Pasto (e IRAP su retribuz. se dovuta) OTD</v>
      </c>
      <c r="O363" s="131">
        <v>1430</v>
      </c>
      <c r="P363" s="614" t="str">
        <f>VLOOKUP(O363,'Centri di Costo'!$A$2:$B$179,2,FALSE)</f>
        <v xml:space="preserve">Conegliano - Totale Attività Ordinaria </v>
      </c>
      <c r="Q363" s="621" t="s">
        <v>1998</v>
      </c>
      <c r="R363" s="640" t="s">
        <v>484</v>
      </c>
    </row>
    <row r="364" spans="1:18" ht="28.5" customHeight="1" outlineLevel="2">
      <c r="A364" s="85" t="s">
        <v>588</v>
      </c>
      <c r="B364" s="402" t="s">
        <v>1864</v>
      </c>
      <c r="C364" s="85" t="s">
        <v>759</v>
      </c>
      <c r="D364" s="148" t="s">
        <v>7</v>
      </c>
      <c r="E364" s="87">
        <v>2018</v>
      </c>
      <c r="F364" s="88">
        <v>111</v>
      </c>
      <c r="G364" s="120" t="s">
        <v>867</v>
      </c>
      <c r="H364" s="581" t="s">
        <v>875</v>
      </c>
      <c r="I364" s="601">
        <v>800</v>
      </c>
      <c r="J364" s="595" t="s">
        <v>9</v>
      </c>
      <c r="K364" s="91">
        <v>1</v>
      </c>
      <c r="L364" s="91">
        <v>2</v>
      </c>
      <c r="M364" s="92">
        <v>16</v>
      </c>
      <c r="N364" s="119" t="str">
        <f>VLOOKUP(M364,'PF Uscite Sp. Corr.'!$C$1:$E$100,2,FALSE)</f>
        <v>Tassa e/o tariffa smaltimento rifiuti solidi urbani</v>
      </c>
      <c r="O364" s="131">
        <v>1430</v>
      </c>
      <c r="P364" s="614" t="str">
        <f>VLOOKUP(O364,'Centri di Costo'!$A$2:$B$179,2,FALSE)</f>
        <v xml:space="preserve">Conegliano - Totale Attività Ordinaria </v>
      </c>
      <c r="Q364" s="622" t="s">
        <v>1844</v>
      </c>
      <c r="R364" s="642" t="s">
        <v>71</v>
      </c>
    </row>
    <row r="365" spans="1:18" ht="28.5" customHeight="1" outlineLevel="2">
      <c r="A365" s="85" t="s">
        <v>588</v>
      </c>
      <c r="B365" s="402" t="s">
        <v>1864</v>
      </c>
      <c r="C365" s="85" t="s">
        <v>759</v>
      </c>
      <c r="D365" s="148" t="s">
        <v>7</v>
      </c>
      <c r="E365" s="87">
        <v>2018</v>
      </c>
      <c r="F365" s="88">
        <v>111</v>
      </c>
      <c r="G365" s="120" t="s">
        <v>867</v>
      </c>
      <c r="H365" s="581" t="s">
        <v>874</v>
      </c>
      <c r="I365" s="601">
        <v>600</v>
      </c>
      <c r="J365" s="595" t="s">
        <v>9</v>
      </c>
      <c r="K365" s="91">
        <v>1</v>
      </c>
      <c r="L365" s="91">
        <v>2</v>
      </c>
      <c r="M365" s="92">
        <v>19</v>
      </c>
      <c r="N365" s="119" t="str">
        <f>VLOOKUP(M365,'PF Uscite Sp. Corr.'!$C$1:$E$100,2,FALSE)</f>
        <v>Tassa di circolazione dei veicoli a motore (tassa automobilistica)</v>
      </c>
      <c r="O365" s="131">
        <v>1430</v>
      </c>
      <c r="P365" s="614" t="str">
        <f>VLOOKUP(O365,'Centri di Costo'!$A$2:$B$179,2,FALSE)</f>
        <v xml:space="preserve">Conegliano - Totale Attività Ordinaria </v>
      </c>
      <c r="Q365" s="622" t="s">
        <v>1844</v>
      </c>
      <c r="R365" s="642" t="s">
        <v>132</v>
      </c>
    </row>
    <row r="366" spans="1:18" ht="28.5" customHeight="1" outlineLevel="2">
      <c r="A366" s="85" t="s">
        <v>588</v>
      </c>
      <c r="B366" s="402" t="s">
        <v>1864</v>
      </c>
      <c r="C366" s="85" t="s">
        <v>759</v>
      </c>
      <c r="D366" s="148" t="s">
        <v>7</v>
      </c>
      <c r="E366" s="87">
        <v>2018</v>
      </c>
      <c r="F366" s="88">
        <v>111</v>
      </c>
      <c r="G366" s="120" t="s">
        <v>867</v>
      </c>
      <c r="H366" s="581" t="s">
        <v>1567</v>
      </c>
      <c r="I366" s="601">
        <v>500</v>
      </c>
      <c r="J366" s="595" t="s">
        <v>9</v>
      </c>
      <c r="K366" s="91">
        <v>1</v>
      </c>
      <c r="L366" s="91">
        <v>3</v>
      </c>
      <c r="M366" s="92">
        <v>32</v>
      </c>
      <c r="N366" s="119" t="str">
        <f>VLOOKUP(M366,'PF Uscite Sp. Corr.'!$C$1:$E$100,2,FALSE)</f>
        <v>Altri beni di consumo</v>
      </c>
      <c r="O366" s="131">
        <v>1430</v>
      </c>
      <c r="P366" s="614" t="str">
        <f>VLOOKUP(O366,'Centri di Costo'!$A$2:$B$179,2,FALSE)</f>
        <v xml:space="preserve">Conegliano - Totale Attività Ordinaria </v>
      </c>
      <c r="Q366" s="623" t="s">
        <v>1997</v>
      </c>
      <c r="R366" s="642" t="s">
        <v>499</v>
      </c>
    </row>
    <row r="367" spans="1:18" ht="28.5" customHeight="1" outlineLevel="2">
      <c r="A367" s="85" t="s">
        <v>588</v>
      </c>
      <c r="B367" s="402" t="s">
        <v>1864</v>
      </c>
      <c r="C367" s="85" t="s">
        <v>759</v>
      </c>
      <c r="D367" s="148" t="s">
        <v>7</v>
      </c>
      <c r="E367" s="87">
        <v>2018</v>
      </c>
      <c r="F367" s="88">
        <v>111</v>
      </c>
      <c r="G367" s="120" t="s">
        <v>867</v>
      </c>
      <c r="H367" s="581" t="s">
        <v>872</v>
      </c>
      <c r="I367" s="601">
        <v>1500</v>
      </c>
      <c r="J367" s="595" t="s">
        <v>9</v>
      </c>
      <c r="K367" s="91">
        <v>1</v>
      </c>
      <c r="L367" s="91">
        <v>3</v>
      </c>
      <c r="M367" s="92">
        <v>32</v>
      </c>
      <c r="N367" s="119" t="str">
        <f>VLOOKUP(M367,'PF Uscite Sp. Corr.'!$C$1:$E$100,2,FALSE)</f>
        <v>Altri beni di consumo</v>
      </c>
      <c r="O367" s="131">
        <v>1430</v>
      </c>
      <c r="P367" s="614" t="str">
        <f>VLOOKUP(O367,'Centri di Costo'!$A$2:$B$179,2,FALSE)</f>
        <v xml:space="preserve">Conegliano - Totale Attività Ordinaria </v>
      </c>
      <c r="Q367" s="623" t="s">
        <v>1997</v>
      </c>
      <c r="R367" s="642" t="s">
        <v>81</v>
      </c>
    </row>
    <row r="368" spans="1:18" ht="36" customHeight="1" outlineLevel="2">
      <c r="A368" s="85" t="s">
        <v>588</v>
      </c>
      <c r="B368" s="402" t="s">
        <v>1864</v>
      </c>
      <c r="C368" s="85" t="s">
        <v>759</v>
      </c>
      <c r="D368" s="508" t="s">
        <v>561</v>
      </c>
      <c r="E368" s="87">
        <v>2018</v>
      </c>
      <c r="F368" s="88">
        <v>124</v>
      </c>
      <c r="G368" s="120" t="s">
        <v>882</v>
      </c>
      <c r="H368" s="581" t="s">
        <v>883</v>
      </c>
      <c r="I368" s="601">
        <v>1700</v>
      </c>
      <c r="J368" s="595" t="s">
        <v>9</v>
      </c>
      <c r="K368" s="91">
        <v>1</v>
      </c>
      <c r="L368" s="91">
        <v>3</v>
      </c>
      <c r="M368" s="92">
        <v>32</v>
      </c>
      <c r="N368" s="119" t="str">
        <f>VLOOKUP(M368,'PF Uscite Sp. Corr.'!$C$1:$E$100,2,FALSE)</f>
        <v>Altri beni di consumo</v>
      </c>
      <c r="O368" s="131">
        <v>1430</v>
      </c>
      <c r="P368" s="614" t="str">
        <f>VLOOKUP(O368,'Centri di Costo'!$A$2:$B$179,2,FALSE)</f>
        <v xml:space="preserve">Conegliano - Totale Attività Ordinaria </v>
      </c>
      <c r="Q368" s="623" t="s">
        <v>1997</v>
      </c>
      <c r="R368" s="640" t="s">
        <v>320</v>
      </c>
    </row>
    <row r="369" spans="1:18" ht="36" customHeight="1" outlineLevel="2">
      <c r="A369" s="85" t="s">
        <v>588</v>
      </c>
      <c r="B369" s="402" t="s">
        <v>1864</v>
      </c>
      <c r="C369" s="85" t="s">
        <v>759</v>
      </c>
      <c r="D369" s="508" t="s">
        <v>561</v>
      </c>
      <c r="E369" s="87">
        <v>2018</v>
      </c>
      <c r="F369" s="88">
        <v>124</v>
      </c>
      <c r="G369" s="120" t="s">
        <v>882</v>
      </c>
      <c r="H369" s="581" t="s">
        <v>884</v>
      </c>
      <c r="I369" s="601">
        <v>500</v>
      </c>
      <c r="J369" s="595" t="s">
        <v>9</v>
      </c>
      <c r="K369" s="91">
        <v>1</v>
      </c>
      <c r="L369" s="91">
        <v>3</v>
      </c>
      <c r="M369" s="92">
        <v>32</v>
      </c>
      <c r="N369" s="119" t="str">
        <f>VLOOKUP(M369,'PF Uscite Sp. Corr.'!$C$1:$E$100,2,FALSE)</f>
        <v>Altri beni di consumo</v>
      </c>
      <c r="O369" s="131">
        <v>1430</v>
      </c>
      <c r="P369" s="614" t="str">
        <f>VLOOKUP(O369,'Centri di Costo'!$A$2:$B$179,2,FALSE)</f>
        <v xml:space="preserve">Conegliano - Totale Attività Ordinaria </v>
      </c>
      <c r="Q369" s="623" t="s">
        <v>1997</v>
      </c>
      <c r="R369" s="640" t="s">
        <v>474</v>
      </c>
    </row>
    <row r="370" spans="1:18" ht="36" customHeight="1" outlineLevel="2">
      <c r="A370" s="85" t="s">
        <v>588</v>
      </c>
      <c r="B370" s="402" t="s">
        <v>1864</v>
      </c>
      <c r="C370" s="85" t="s">
        <v>759</v>
      </c>
      <c r="D370" s="508" t="s">
        <v>561</v>
      </c>
      <c r="E370" s="87">
        <v>2018</v>
      </c>
      <c r="F370" s="88">
        <v>124</v>
      </c>
      <c r="G370" s="120" t="s">
        <v>882</v>
      </c>
      <c r="H370" s="581" t="s">
        <v>885</v>
      </c>
      <c r="I370" s="601">
        <v>1500</v>
      </c>
      <c r="J370" s="595" t="s">
        <v>9</v>
      </c>
      <c r="K370" s="91">
        <v>1</v>
      </c>
      <c r="L370" s="91">
        <v>3</v>
      </c>
      <c r="M370" s="92">
        <v>32</v>
      </c>
      <c r="N370" s="119" t="str">
        <f>VLOOKUP(M370,'PF Uscite Sp. Corr.'!$C$1:$E$100,2,FALSE)</f>
        <v>Altri beni di consumo</v>
      </c>
      <c r="O370" s="131">
        <v>1430</v>
      </c>
      <c r="P370" s="614" t="str">
        <f>VLOOKUP(O370,'Centri di Costo'!$A$2:$B$179,2,FALSE)</f>
        <v xml:space="preserve">Conegliano - Totale Attività Ordinaria </v>
      </c>
      <c r="Q370" s="623" t="s">
        <v>1997</v>
      </c>
      <c r="R370" s="640" t="s">
        <v>438</v>
      </c>
    </row>
    <row r="371" spans="1:18" ht="28.5" customHeight="1" outlineLevel="2">
      <c r="A371" s="85" t="s">
        <v>588</v>
      </c>
      <c r="B371" s="402" t="s">
        <v>1864</v>
      </c>
      <c r="C371" s="85" t="s">
        <v>759</v>
      </c>
      <c r="D371" s="148" t="s">
        <v>7</v>
      </c>
      <c r="E371" s="87">
        <v>2018</v>
      </c>
      <c r="F371" s="88">
        <v>111</v>
      </c>
      <c r="G371" s="120" t="s">
        <v>867</v>
      </c>
      <c r="H371" s="581" t="s">
        <v>873</v>
      </c>
      <c r="I371" s="601">
        <v>1000</v>
      </c>
      <c r="J371" s="595" t="s">
        <v>9</v>
      </c>
      <c r="K371" s="91">
        <v>1</v>
      </c>
      <c r="L371" s="91">
        <v>3</v>
      </c>
      <c r="M371" s="92">
        <v>32</v>
      </c>
      <c r="N371" s="119" t="str">
        <f>VLOOKUP(M371,'PF Uscite Sp. Corr.'!$C$1:$E$100,2,FALSE)</f>
        <v>Altri beni di consumo</v>
      </c>
      <c r="O371" s="131">
        <v>1430</v>
      </c>
      <c r="P371" s="614" t="str">
        <f>VLOOKUP(O371,'Centri di Costo'!$A$2:$B$179,2,FALSE)</f>
        <v xml:space="preserve">Conegliano - Totale Attività Ordinaria </v>
      </c>
      <c r="Q371" s="623" t="s">
        <v>1997</v>
      </c>
      <c r="R371" s="642" t="s">
        <v>72</v>
      </c>
    </row>
    <row r="372" spans="1:18" ht="28.5" customHeight="1" outlineLevel="2">
      <c r="A372" s="85" t="s">
        <v>588</v>
      </c>
      <c r="B372" s="402" t="s">
        <v>1864</v>
      </c>
      <c r="C372" s="85" t="s">
        <v>759</v>
      </c>
      <c r="D372" s="148" t="s">
        <v>7</v>
      </c>
      <c r="E372" s="87">
        <v>2018</v>
      </c>
      <c r="F372" s="88">
        <v>111</v>
      </c>
      <c r="G372" s="120" t="s">
        <v>867</v>
      </c>
      <c r="H372" s="581" t="s">
        <v>877</v>
      </c>
      <c r="I372" s="601">
        <v>2500</v>
      </c>
      <c r="J372" s="595" t="s">
        <v>9</v>
      </c>
      <c r="K372" s="91">
        <v>1</v>
      </c>
      <c r="L372" s="91">
        <v>3</v>
      </c>
      <c r="M372" s="92">
        <v>32</v>
      </c>
      <c r="N372" s="119" t="str">
        <f>VLOOKUP(M372,'PF Uscite Sp. Corr.'!$C$1:$E$100,2,FALSE)</f>
        <v>Altri beni di consumo</v>
      </c>
      <c r="O372" s="131">
        <v>1430</v>
      </c>
      <c r="P372" s="614" t="str">
        <f>VLOOKUP(O372,'Centri di Costo'!$A$2:$B$179,2,FALSE)</f>
        <v xml:space="preserve">Conegliano - Totale Attività Ordinaria </v>
      </c>
      <c r="Q372" s="623" t="s">
        <v>2014</v>
      </c>
      <c r="R372" s="642" t="s">
        <v>113</v>
      </c>
    </row>
    <row r="373" spans="1:18" ht="28.5" customHeight="1" outlineLevel="2">
      <c r="A373" s="85" t="s">
        <v>588</v>
      </c>
      <c r="B373" s="402" t="s">
        <v>1864</v>
      </c>
      <c r="C373" s="85" t="s">
        <v>759</v>
      </c>
      <c r="D373" s="148" t="s">
        <v>7</v>
      </c>
      <c r="E373" s="87">
        <v>2018</v>
      </c>
      <c r="F373" s="88">
        <v>111</v>
      </c>
      <c r="G373" s="120" t="s">
        <v>867</v>
      </c>
      <c r="H373" s="581" t="s">
        <v>1568</v>
      </c>
      <c r="I373" s="601">
        <v>5000</v>
      </c>
      <c r="J373" s="595" t="s">
        <v>9</v>
      </c>
      <c r="K373" s="91">
        <v>1</v>
      </c>
      <c r="L373" s="91">
        <v>3</v>
      </c>
      <c r="M373" s="92">
        <v>45</v>
      </c>
      <c r="N373" s="119" t="str">
        <f>VLOOKUP(M373,'PF Uscite Sp. Corr.'!$C$1:$E$100,2,FALSE)</f>
        <v>Utenze e canoni</v>
      </c>
      <c r="O373" s="131">
        <v>1430</v>
      </c>
      <c r="P373" s="614" t="str">
        <f>VLOOKUP(O373,'Centri di Costo'!$A$2:$B$179,2,FALSE)</f>
        <v xml:space="preserve">Conegliano - Totale Attività Ordinaria </v>
      </c>
      <c r="Q373" s="623" t="s">
        <v>1997</v>
      </c>
      <c r="R373" s="642" t="s">
        <v>868</v>
      </c>
    </row>
    <row r="374" spans="1:18" ht="28.5" customHeight="1" outlineLevel="2">
      <c r="A374" s="85" t="s">
        <v>588</v>
      </c>
      <c r="B374" s="402" t="s">
        <v>1864</v>
      </c>
      <c r="C374" s="85" t="s">
        <v>759</v>
      </c>
      <c r="D374" s="148" t="s">
        <v>7</v>
      </c>
      <c r="E374" s="87">
        <v>2018</v>
      </c>
      <c r="F374" s="88">
        <v>111</v>
      </c>
      <c r="G374" s="120" t="s">
        <v>867</v>
      </c>
      <c r="H374" s="581" t="s">
        <v>1585</v>
      </c>
      <c r="I374" s="601">
        <v>1000</v>
      </c>
      <c r="J374" s="595" t="s">
        <v>9</v>
      </c>
      <c r="K374" s="91">
        <v>1</v>
      </c>
      <c r="L374" s="91">
        <v>3</v>
      </c>
      <c r="M374" s="92">
        <v>45</v>
      </c>
      <c r="N374" s="119" t="str">
        <f>VLOOKUP(M374,'PF Uscite Sp. Corr.'!$C$1:$E$100,2,FALSE)</f>
        <v>Utenze e canoni</v>
      </c>
      <c r="O374" s="131">
        <v>1430</v>
      </c>
      <c r="P374" s="614" t="str">
        <f>VLOOKUP(O374,'Centri di Costo'!$A$2:$B$179,2,FALSE)</f>
        <v xml:space="preserve">Conegliano - Totale Attività Ordinaria </v>
      </c>
      <c r="Q374" s="624" t="s">
        <v>2014</v>
      </c>
      <c r="R374" s="642" t="s">
        <v>105</v>
      </c>
    </row>
    <row r="375" spans="1:18" ht="28.5" customHeight="1" outlineLevel="2">
      <c r="A375" s="85" t="s">
        <v>588</v>
      </c>
      <c r="B375" s="402" t="s">
        <v>1864</v>
      </c>
      <c r="C375" s="85" t="s">
        <v>759</v>
      </c>
      <c r="D375" s="148" t="s">
        <v>7</v>
      </c>
      <c r="E375" s="87">
        <v>2018</v>
      </c>
      <c r="F375" s="88">
        <v>111</v>
      </c>
      <c r="G375" s="120" t="s">
        <v>867</v>
      </c>
      <c r="H375" s="581" t="s">
        <v>880</v>
      </c>
      <c r="I375" s="601">
        <v>3500</v>
      </c>
      <c r="J375" s="595" t="s">
        <v>9</v>
      </c>
      <c r="K375" s="91">
        <v>1</v>
      </c>
      <c r="L375" s="91">
        <v>3</v>
      </c>
      <c r="M375" s="92">
        <v>47</v>
      </c>
      <c r="N375" s="119" t="str">
        <f>VLOOKUP(M375,'PF Uscite Sp. Corr.'!$C$1:$E$100,2,FALSE)</f>
        <v>Utilizzo di beni di terzi</v>
      </c>
      <c r="O375" s="131">
        <v>1430</v>
      </c>
      <c r="P375" s="614" t="str">
        <f>VLOOKUP(O375,'Centri di Costo'!$A$2:$B$179,2,FALSE)</f>
        <v xml:space="preserve">Conegliano - Totale Attività Ordinaria </v>
      </c>
      <c r="Q375" s="623" t="s">
        <v>1997</v>
      </c>
      <c r="R375" s="642" t="s">
        <v>356</v>
      </c>
    </row>
    <row r="376" spans="1:18" ht="28.5" customHeight="1" outlineLevel="2">
      <c r="A376" s="85" t="s">
        <v>588</v>
      </c>
      <c r="B376" s="402" t="s">
        <v>1864</v>
      </c>
      <c r="C376" s="85" t="s">
        <v>759</v>
      </c>
      <c r="D376" s="148" t="s">
        <v>7</v>
      </c>
      <c r="E376" s="87">
        <v>2018</v>
      </c>
      <c r="F376" s="88">
        <v>111</v>
      </c>
      <c r="G376" s="120" t="s">
        <v>867</v>
      </c>
      <c r="H376" s="581" t="s">
        <v>869</v>
      </c>
      <c r="I376" s="601">
        <v>4000</v>
      </c>
      <c r="J376" s="595" t="s">
        <v>9</v>
      </c>
      <c r="K376" s="91">
        <v>1</v>
      </c>
      <c r="L376" s="91">
        <v>3</v>
      </c>
      <c r="M376" s="92">
        <v>49</v>
      </c>
      <c r="N376" s="119" t="str">
        <f>VLOOKUP(M376,'PF Uscite Sp. Corr.'!$C$1:$E$100,2,FALSE)</f>
        <v>Manutenzione ordinaria e riparazioni</v>
      </c>
      <c r="O376" s="131">
        <v>1430</v>
      </c>
      <c r="P376" s="614" t="str">
        <f>VLOOKUP(O376,'Centri di Costo'!$A$2:$B$179,2,FALSE)</f>
        <v xml:space="preserve">Conegliano - Totale Attività Ordinaria </v>
      </c>
      <c r="Q376" s="623" t="s">
        <v>1997</v>
      </c>
      <c r="R376" s="642" t="s">
        <v>322</v>
      </c>
    </row>
    <row r="377" spans="1:18" ht="28.5" customHeight="1" outlineLevel="2">
      <c r="A377" s="85" t="s">
        <v>588</v>
      </c>
      <c r="B377" s="402" t="s">
        <v>1864</v>
      </c>
      <c r="C377" s="85" t="s">
        <v>759</v>
      </c>
      <c r="D377" s="148" t="s">
        <v>7</v>
      </c>
      <c r="E377" s="87">
        <v>2018</v>
      </c>
      <c r="F377" s="88">
        <v>111</v>
      </c>
      <c r="G377" s="120" t="s">
        <v>867</v>
      </c>
      <c r="H377" s="581" t="s">
        <v>870</v>
      </c>
      <c r="I377" s="601">
        <v>4000</v>
      </c>
      <c r="J377" s="595" t="s">
        <v>9</v>
      </c>
      <c r="K377" s="91">
        <v>1</v>
      </c>
      <c r="L377" s="91">
        <v>3</v>
      </c>
      <c r="M377" s="92">
        <v>49</v>
      </c>
      <c r="N377" s="119" t="str">
        <f>VLOOKUP(M377,'PF Uscite Sp. Corr.'!$C$1:$E$100,2,FALSE)</f>
        <v>Manutenzione ordinaria e riparazioni</v>
      </c>
      <c r="O377" s="131">
        <v>1430</v>
      </c>
      <c r="P377" s="614" t="str">
        <f>VLOOKUP(O377,'Centri di Costo'!$A$2:$B$179,2,FALSE)</f>
        <v xml:space="preserve">Conegliano - Totale Attività Ordinaria </v>
      </c>
      <c r="Q377" s="623" t="s">
        <v>1997</v>
      </c>
      <c r="R377" s="642" t="s">
        <v>52</v>
      </c>
    </row>
    <row r="378" spans="1:18" ht="28.5" customHeight="1" outlineLevel="2">
      <c r="A378" s="85" t="s">
        <v>588</v>
      </c>
      <c r="B378" s="402" t="s">
        <v>1864</v>
      </c>
      <c r="C378" s="85" t="s">
        <v>759</v>
      </c>
      <c r="D378" s="148" t="s">
        <v>7</v>
      </c>
      <c r="E378" s="87">
        <v>2018</v>
      </c>
      <c r="F378" s="88">
        <v>111</v>
      </c>
      <c r="G378" s="120" t="s">
        <v>867</v>
      </c>
      <c r="H378" s="581" t="s">
        <v>871</v>
      </c>
      <c r="I378" s="601">
        <v>2500</v>
      </c>
      <c r="J378" s="595" t="s">
        <v>9</v>
      </c>
      <c r="K378" s="91">
        <v>1</v>
      </c>
      <c r="L378" s="91">
        <v>3</v>
      </c>
      <c r="M378" s="92">
        <v>49</v>
      </c>
      <c r="N378" s="119" t="str">
        <f>VLOOKUP(M378,'PF Uscite Sp. Corr.'!$C$1:$E$100,2,FALSE)</f>
        <v>Manutenzione ordinaria e riparazioni</v>
      </c>
      <c r="O378" s="131">
        <v>1430</v>
      </c>
      <c r="P378" s="614" t="str">
        <f>VLOOKUP(O378,'Centri di Costo'!$A$2:$B$179,2,FALSE)</f>
        <v xml:space="preserve">Conegliano - Totale Attività Ordinaria </v>
      </c>
      <c r="Q378" s="623" t="s">
        <v>1997</v>
      </c>
      <c r="R378" s="642" t="s">
        <v>109</v>
      </c>
    </row>
    <row r="379" spans="1:18" ht="28.5" customHeight="1" outlineLevel="2">
      <c r="A379" s="85" t="s">
        <v>588</v>
      </c>
      <c r="B379" s="402" t="s">
        <v>1864</v>
      </c>
      <c r="C379" s="85" t="s">
        <v>759</v>
      </c>
      <c r="D379" s="148" t="s">
        <v>7</v>
      </c>
      <c r="E379" s="87">
        <v>2018</v>
      </c>
      <c r="F379" s="88">
        <v>111</v>
      </c>
      <c r="G379" s="120" t="s">
        <v>867</v>
      </c>
      <c r="H379" s="581" t="s">
        <v>878</v>
      </c>
      <c r="I379" s="601">
        <v>500</v>
      </c>
      <c r="J379" s="595" t="s">
        <v>9</v>
      </c>
      <c r="K379" s="91">
        <v>1</v>
      </c>
      <c r="L379" s="91">
        <v>3</v>
      </c>
      <c r="M379" s="92">
        <v>51</v>
      </c>
      <c r="N379" s="119" t="str">
        <f>VLOOKUP(M379,'PF Uscite Sp. Corr.'!$C$1:$E$100,2,FALSE)</f>
        <v>Prestazioni professionali e specialistiche</v>
      </c>
      <c r="O379" s="131">
        <v>1430</v>
      </c>
      <c r="P379" s="614" t="str">
        <f>VLOOKUP(O379,'Centri di Costo'!$A$2:$B$179,2,FALSE)</f>
        <v xml:space="preserve">Conegliano - Totale Attività Ordinaria </v>
      </c>
      <c r="Q379" s="623" t="s">
        <v>1997</v>
      </c>
      <c r="R379" s="642" t="s">
        <v>87</v>
      </c>
    </row>
    <row r="380" spans="1:18" ht="28.5" customHeight="1" outlineLevel="2">
      <c r="A380" s="85" t="s">
        <v>588</v>
      </c>
      <c r="B380" s="402" t="s">
        <v>1864</v>
      </c>
      <c r="C380" s="85" t="s">
        <v>759</v>
      </c>
      <c r="D380" s="148" t="s">
        <v>7</v>
      </c>
      <c r="E380" s="87">
        <v>2018</v>
      </c>
      <c r="F380" s="88">
        <v>111</v>
      </c>
      <c r="G380" s="120" t="s">
        <v>867</v>
      </c>
      <c r="H380" s="581" t="s">
        <v>879</v>
      </c>
      <c r="I380" s="601">
        <v>1200</v>
      </c>
      <c r="J380" s="595" t="s">
        <v>9</v>
      </c>
      <c r="K380" s="91">
        <v>1</v>
      </c>
      <c r="L380" s="91">
        <v>3</v>
      </c>
      <c r="M380" s="92">
        <v>53</v>
      </c>
      <c r="N380" s="119" t="str">
        <f>VLOOKUP(M380,'PF Uscite Sp. Corr.'!$C$1:$E$100,2,FALSE)</f>
        <v>Servizi ausiliari per il funzionamento dell'ente</v>
      </c>
      <c r="O380" s="131">
        <v>1430</v>
      </c>
      <c r="P380" s="614" t="str">
        <f>VLOOKUP(O380,'Centri di Costo'!$A$2:$B$179,2,FALSE)</f>
        <v xml:space="preserve">Conegliano - Totale Attività Ordinaria </v>
      </c>
      <c r="Q380" s="623" t="s">
        <v>1997</v>
      </c>
      <c r="R380" s="642" t="s">
        <v>78</v>
      </c>
    </row>
    <row r="381" spans="1:18" ht="28.5" customHeight="1" outlineLevel="2">
      <c r="A381" s="85" t="s">
        <v>588</v>
      </c>
      <c r="B381" s="402" t="s">
        <v>1864</v>
      </c>
      <c r="C381" s="85" t="s">
        <v>759</v>
      </c>
      <c r="D381" s="148" t="s">
        <v>7</v>
      </c>
      <c r="E381" s="87">
        <v>2018</v>
      </c>
      <c r="F381" s="88">
        <v>111</v>
      </c>
      <c r="G381" s="120" t="s">
        <v>867</v>
      </c>
      <c r="H381" s="581" t="s">
        <v>881</v>
      </c>
      <c r="I381" s="601">
        <v>3000</v>
      </c>
      <c r="J381" s="595" t="s">
        <v>9</v>
      </c>
      <c r="K381" s="91">
        <v>1</v>
      </c>
      <c r="L381" s="91">
        <v>3</v>
      </c>
      <c r="M381" s="92">
        <v>53</v>
      </c>
      <c r="N381" s="119" t="str">
        <f>VLOOKUP(M381,'PF Uscite Sp. Corr.'!$C$1:$E$100,2,FALSE)</f>
        <v>Servizi ausiliari per il funzionamento dell'ente</v>
      </c>
      <c r="O381" s="131">
        <v>1430</v>
      </c>
      <c r="P381" s="614" t="str">
        <f>VLOOKUP(O381,'Centri di Costo'!$A$2:$B$179,2,FALSE)</f>
        <v xml:space="preserve">Conegliano - Totale Attività Ordinaria </v>
      </c>
      <c r="Q381" s="623" t="s">
        <v>1997</v>
      </c>
      <c r="R381" s="642" t="s">
        <v>315</v>
      </c>
    </row>
    <row r="382" spans="1:18" ht="28.5" customHeight="1" outlineLevel="2">
      <c r="A382" s="85" t="s">
        <v>89</v>
      </c>
      <c r="B382" s="402" t="s">
        <v>1864</v>
      </c>
      <c r="C382" s="85" t="s">
        <v>150</v>
      </c>
      <c r="D382" s="148" t="s">
        <v>7</v>
      </c>
      <c r="E382" s="87">
        <v>2018</v>
      </c>
      <c r="F382" s="88">
        <v>133</v>
      </c>
      <c r="G382" s="120" t="s">
        <v>200</v>
      </c>
      <c r="H382" s="581" t="s">
        <v>213</v>
      </c>
      <c r="I382" s="601">
        <v>1000</v>
      </c>
      <c r="J382" s="595" t="s">
        <v>9</v>
      </c>
      <c r="K382" s="91">
        <v>1</v>
      </c>
      <c r="L382" s="91">
        <v>3</v>
      </c>
      <c r="M382" s="92">
        <v>59</v>
      </c>
      <c r="N382" s="119" t="str">
        <f>VLOOKUP(M382,'PF Uscite Sp. Corr.'!$C$1:$E$100,2,FALSE)</f>
        <v>Servizi informatici e di telecomunicazioni</v>
      </c>
      <c r="O382" s="131">
        <v>1430</v>
      </c>
      <c r="P382" s="614" t="str">
        <f>VLOOKUP(O382,'Centri di Costo'!$A$2:$B$179,2,FALSE)</f>
        <v xml:space="preserve">Conegliano - Totale Attività Ordinaria </v>
      </c>
      <c r="Q382" s="624" t="s">
        <v>2014</v>
      </c>
      <c r="R382" s="642" t="s">
        <v>202</v>
      </c>
    </row>
    <row r="383" spans="1:18" s="139" customFormat="1" ht="28.5" customHeight="1" outlineLevel="2">
      <c r="A383" s="115" t="s">
        <v>588</v>
      </c>
      <c r="B383" s="404" t="s">
        <v>1864</v>
      </c>
      <c r="C383" s="115" t="s">
        <v>759</v>
      </c>
      <c r="D383" s="417" t="s">
        <v>7</v>
      </c>
      <c r="E383" s="412">
        <v>2018</v>
      </c>
      <c r="F383" s="413">
        <v>111</v>
      </c>
      <c r="G383" s="123" t="s">
        <v>867</v>
      </c>
      <c r="H383" s="583" t="s">
        <v>876</v>
      </c>
      <c r="I383" s="603">
        <v>2500</v>
      </c>
      <c r="J383" s="596" t="s">
        <v>9</v>
      </c>
      <c r="K383" s="216">
        <v>1</v>
      </c>
      <c r="L383" s="216">
        <v>10</v>
      </c>
      <c r="M383" s="418">
        <v>86</v>
      </c>
      <c r="N383" s="118" t="str">
        <f>VLOOKUP(M383,'PF Uscite Sp. Corr.'!$C$1:$E$100,2,FALSE)</f>
        <v>Premi di assicurazione contro i danni</v>
      </c>
      <c r="O383" s="419">
        <v>1430</v>
      </c>
      <c r="P383" s="615" t="str">
        <f>VLOOKUP(O383,'Centri di Costo'!$A$2:$B$179,2,FALSE)</f>
        <v xml:space="preserve">Conegliano - Totale Attività Ordinaria </v>
      </c>
      <c r="Q383" s="624" t="s">
        <v>2014</v>
      </c>
      <c r="R383" s="648" t="s">
        <v>855</v>
      </c>
    </row>
    <row r="384" spans="1:18" s="215" customFormat="1" ht="20.25" customHeight="1" outlineLevel="1" collapsed="1">
      <c r="A384" s="160"/>
      <c r="B384" s="433" t="s">
        <v>1899</v>
      </c>
      <c r="C384" s="161"/>
      <c r="D384" s="437"/>
      <c r="E384" s="438"/>
      <c r="F384" s="438"/>
      <c r="G384" s="441" t="s">
        <v>1938</v>
      </c>
      <c r="H384" s="214" t="s">
        <v>1945</v>
      </c>
      <c r="I384" s="605">
        <f>SUBTOTAL(9,I362:I383)</f>
        <v>63800</v>
      </c>
      <c r="J384" s="212"/>
      <c r="K384" s="179"/>
      <c r="L384" s="179"/>
      <c r="M384" s="213"/>
      <c r="N384" s="434"/>
      <c r="O384" s="439"/>
      <c r="P384" s="435"/>
      <c r="Q384" s="620"/>
      <c r="R384" s="645"/>
    </row>
    <row r="385" spans="1:18" s="205" customFormat="1" ht="13.5" customHeight="1">
      <c r="A385" s="535"/>
      <c r="B385" s="536"/>
      <c r="C385" s="537"/>
      <c r="D385" s="537"/>
      <c r="E385" s="537"/>
      <c r="F385" s="540"/>
      <c r="G385" s="537" t="str">
        <f>C386</f>
        <v>SETTORE ATTIVITA' FORESTALI</v>
      </c>
      <c r="H385" s="537"/>
      <c r="I385" s="599"/>
      <c r="J385" s="537"/>
      <c r="K385" s="537"/>
      <c r="L385" s="537"/>
      <c r="M385" s="537"/>
      <c r="N385" s="537"/>
      <c r="O385" s="538"/>
      <c r="P385" s="539"/>
      <c r="Q385" s="618"/>
      <c r="R385" s="638"/>
    </row>
    <row r="386" spans="1:18" ht="28.5" customHeight="1" outlineLevel="2">
      <c r="A386" s="94" t="s">
        <v>588</v>
      </c>
      <c r="B386" s="402" t="s">
        <v>1865</v>
      </c>
      <c r="C386" s="94" t="s">
        <v>599</v>
      </c>
      <c r="D386" s="149" t="s">
        <v>7</v>
      </c>
      <c r="E386" s="101">
        <v>2018</v>
      </c>
      <c r="F386" s="102">
        <v>117</v>
      </c>
      <c r="G386" s="121" t="s">
        <v>615</v>
      </c>
      <c r="H386" s="580" t="s">
        <v>1098</v>
      </c>
      <c r="I386" s="600">
        <v>60000</v>
      </c>
      <c r="J386" s="594" t="s">
        <v>36</v>
      </c>
      <c r="K386" s="99">
        <v>1</v>
      </c>
      <c r="L386" s="99">
        <v>1</v>
      </c>
      <c r="M386" s="209" t="s">
        <v>1532</v>
      </c>
      <c r="N386" s="577" t="str">
        <f>VLOOKUP(M386,'PF Uscite Sp. Corr.'!$C$1:$E$100,2,FALSE)</f>
        <v>Salari, Oneri Sociali, Acc. TFR, Buoni Pasto (e IRAP su retribuz. se dovuta) OTI</v>
      </c>
      <c r="O386" s="132">
        <v>1518</v>
      </c>
      <c r="P386" s="613" t="str">
        <f>VLOOKUP(O386,'Centri di Costo'!$A$2:$B$179,2,FALSE)</f>
        <v>Att. Ord. Cansiglio - Spese Generali</v>
      </c>
      <c r="Q386" s="621" t="s">
        <v>1998</v>
      </c>
      <c r="R386" s="639" t="s">
        <v>427</v>
      </c>
    </row>
    <row r="387" spans="1:18" ht="28.5" customHeight="1" outlineLevel="2">
      <c r="A387" s="85" t="s">
        <v>588</v>
      </c>
      <c r="B387" s="400" t="s">
        <v>1865</v>
      </c>
      <c r="C387" s="85" t="s">
        <v>599</v>
      </c>
      <c r="D387" s="148" t="s">
        <v>7</v>
      </c>
      <c r="E387" s="87">
        <v>2018</v>
      </c>
      <c r="F387" s="88">
        <v>119</v>
      </c>
      <c r="G387" s="120" t="s">
        <v>626</v>
      </c>
      <c r="H387" s="581" t="s">
        <v>1097</v>
      </c>
      <c r="I387" s="601">
        <v>29500</v>
      </c>
      <c r="J387" s="595" t="s">
        <v>36</v>
      </c>
      <c r="K387" s="91">
        <v>1</v>
      </c>
      <c r="L387" s="91">
        <v>1</v>
      </c>
      <c r="M387" s="519" t="s">
        <v>1532</v>
      </c>
      <c r="N387" s="578" t="str">
        <f>VLOOKUP(M387,'PF Uscite Sp. Corr.'!$C$1:$E$100,2,FALSE)</f>
        <v>Salari, Oneri Sociali, Acc. TFR, Buoni Pasto (e IRAP su retribuz. se dovuta) OTI</v>
      </c>
      <c r="O387" s="131">
        <v>1518</v>
      </c>
      <c r="P387" s="614" t="str">
        <f>VLOOKUP(O387,'Centri di Costo'!$A$2:$B$179,2,FALSE)</f>
        <v>Att. Ord. Cansiglio - Spese Generali</v>
      </c>
      <c r="Q387" s="621" t="s">
        <v>1998</v>
      </c>
      <c r="R387" s="642" t="s">
        <v>427</v>
      </c>
    </row>
    <row r="388" spans="1:18" ht="28.5" customHeight="1" outlineLevel="2">
      <c r="A388" s="94" t="s">
        <v>588</v>
      </c>
      <c r="B388" s="400" t="s">
        <v>1865</v>
      </c>
      <c r="C388" s="94" t="s">
        <v>599</v>
      </c>
      <c r="D388" s="149" t="s">
        <v>7</v>
      </c>
      <c r="E388" s="101">
        <v>2018</v>
      </c>
      <c r="F388" s="102">
        <v>119</v>
      </c>
      <c r="G388" s="121" t="s">
        <v>626</v>
      </c>
      <c r="H388" s="580" t="s">
        <v>1096</v>
      </c>
      <c r="I388" s="600">
        <v>45000</v>
      </c>
      <c r="J388" s="594" t="s">
        <v>36</v>
      </c>
      <c r="K388" s="99">
        <v>1</v>
      </c>
      <c r="L388" s="99">
        <v>1</v>
      </c>
      <c r="M388" s="517" t="s">
        <v>1530</v>
      </c>
      <c r="N388" s="577" t="str">
        <f>VLOOKUP(M388,'PF Uscite Sp. Corr.'!$C$1:$E$100,2,FALSE)</f>
        <v>Salari, Oneri Sociali, Acc. TFR, Buoni Pasto (e IRAP su retribuz. se dovuta) OTD</v>
      </c>
      <c r="O388" s="132">
        <v>1518</v>
      </c>
      <c r="P388" s="613" t="str">
        <f>VLOOKUP(O388,'Centri di Costo'!$A$2:$B$179,2,FALSE)</f>
        <v>Att. Ord. Cansiglio - Spese Generali</v>
      </c>
      <c r="Q388" s="621" t="s">
        <v>1998</v>
      </c>
      <c r="R388" s="639" t="s">
        <v>484</v>
      </c>
    </row>
    <row r="389" spans="1:18" ht="28.5" customHeight="1" outlineLevel="2">
      <c r="A389" s="85" t="s">
        <v>588</v>
      </c>
      <c r="B389" s="400" t="s">
        <v>1865</v>
      </c>
      <c r="C389" s="85" t="s">
        <v>599</v>
      </c>
      <c r="D389" s="148" t="s">
        <v>7</v>
      </c>
      <c r="E389" s="87">
        <v>2018</v>
      </c>
      <c r="F389" s="88">
        <v>125</v>
      </c>
      <c r="G389" s="120" t="s">
        <v>636</v>
      </c>
      <c r="H389" s="581" t="s">
        <v>1099</v>
      </c>
      <c r="I389" s="601">
        <v>6500</v>
      </c>
      <c r="J389" s="595" t="s">
        <v>36</v>
      </c>
      <c r="K389" s="91">
        <v>1</v>
      </c>
      <c r="L389" s="91">
        <v>1</v>
      </c>
      <c r="M389" s="232" t="s">
        <v>1530</v>
      </c>
      <c r="N389" s="578" t="str">
        <f>VLOOKUP(M389,'PF Uscite Sp. Corr.'!$C$1:$E$100,2,FALSE)</f>
        <v>Salari, Oneri Sociali, Acc. TFR, Buoni Pasto (e IRAP su retribuz. se dovuta) OTD</v>
      </c>
      <c r="O389" s="131">
        <v>1518</v>
      </c>
      <c r="P389" s="614" t="str">
        <f>VLOOKUP(O389,'Centri di Costo'!$A$2:$B$179,2,FALSE)</f>
        <v>Att. Ord. Cansiglio - Spese Generali</v>
      </c>
      <c r="Q389" s="621" t="s">
        <v>1998</v>
      </c>
      <c r="R389" s="642" t="s">
        <v>484</v>
      </c>
    </row>
    <row r="390" spans="1:18" ht="28.5" customHeight="1" outlineLevel="2">
      <c r="A390" s="85" t="s">
        <v>588</v>
      </c>
      <c r="B390" s="400" t="s">
        <v>1865</v>
      </c>
      <c r="C390" s="85" t="s">
        <v>599</v>
      </c>
      <c r="D390" s="148" t="s">
        <v>7</v>
      </c>
      <c r="E390" s="87">
        <v>2018</v>
      </c>
      <c r="F390" s="88">
        <v>125</v>
      </c>
      <c r="G390" s="120" t="s">
        <v>636</v>
      </c>
      <c r="H390" s="581" t="s">
        <v>643</v>
      </c>
      <c r="I390" s="601">
        <v>400</v>
      </c>
      <c r="J390" s="595" t="s">
        <v>36</v>
      </c>
      <c r="K390" s="91">
        <v>1</v>
      </c>
      <c r="L390" s="91">
        <v>2</v>
      </c>
      <c r="M390" s="92">
        <v>12</v>
      </c>
      <c r="N390" s="119" t="str">
        <f>VLOOKUP(M390,'PF Uscite Sp. Corr.'!$C$1:$E$100,2,FALSE)</f>
        <v>Imposta di registro e di bollo</v>
      </c>
      <c r="O390" s="131">
        <v>1518</v>
      </c>
      <c r="P390" s="614" t="str">
        <f>VLOOKUP(O390,'Centri di Costo'!$A$2:$B$179,2,FALSE)</f>
        <v>Att. Ord. Cansiglio - Spese Generali</v>
      </c>
      <c r="Q390" s="622" t="s">
        <v>1844</v>
      </c>
      <c r="R390" s="642" t="s">
        <v>47</v>
      </c>
    </row>
    <row r="391" spans="1:18" ht="28.5" customHeight="1" outlineLevel="2">
      <c r="A391" s="85" t="s">
        <v>588</v>
      </c>
      <c r="B391" s="400" t="s">
        <v>1865</v>
      </c>
      <c r="C391" s="85" t="s">
        <v>599</v>
      </c>
      <c r="D391" s="148" t="s">
        <v>7</v>
      </c>
      <c r="E391" s="87">
        <v>2018</v>
      </c>
      <c r="F391" s="88">
        <v>125</v>
      </c>
      <c r="G391" s="120" t="s">
        <v>636</v>
      </c>
      <c r="H391" s="581" t="s">
        <v>640</v>
      </c>
      <c r="I391" s="601">
        <v>700</v>
      </c>
      <c r="J391" s="595" t="s">
        <v>36</v>
      </c>
      <c r="K391" s="91">
        <v>1</v>
      </c>
      <c r="L391" s="91">
        <v>2</v>
      </c>
      <c r="M391" s="92">
        <v>16</v>
      </c>
      <c r="N391" s="119" t="str">
        <f>VLOOKUP(M391,'PF Uscite Sp. Corr.'!$C$1:$E$100,2,FALSE)</f>
        <v>Tassa e/o tariffa smaltimento rifiuti solidi urbani</v>
      </c>
      <c r="O391" s="131">
        <v>1518</v>
      </c>
      <c r="P391" s="614" t="str">
        <f>VLOOKUP(O391,'Centri di Costo'!$A$2:$B$179,2,FALSE)</f>
        <v>Att. Ord. Cansiglio - Spese Generali</v>
      </c>
      <c r="Q391" s="622" t="s">
        <v>1844</v>
      </c>
      <c r="R391" s="642" t="s">
        <v>71</v>
      </c>
    </row>
    <row r="392" spans="1:18" ht="28.5" customHeight="1" outlineLevel="2">
      <c r="A392" s="85" t="s">
        <v>588</v>
      </c>
      <c r="B392" s="400" t="s">
        <v>1865</v>
      </c>
      <c r="C392" s="85" t="s">
        <v>599</v>
      </c>
      <c r="D392" s="148" t="s">
        <v>7</v>
      </c>
      <c r="E392" s="87">
        <v>2018</v>
      </c>
      <c r="F392" s="88">
        <v>125</v>
      </c>
      <c r="G392" s="120" t="s">
        <v>636</v>
      </c>
      <c r="H392" s="581" t="s">
        <v>638</v>
      </c>
      <c r="I392" s="601">
        <v>1200</v>
      </c>
      <c r="J392" s="595" t="s">
        <v>36</v>
      </c>
      <c r="K392" s="91">
        <v>1</v>
      </c>
      <c r="L392" s="91">
        <v>2</v>
      </c>
      <c r="M392" s="92">
        <v>19</v>
      </c>
      <c r="N392" s="119" t="str">
        <f>VLOOKUP(M392,'PF Uscite Sp. Corr.'!$C$1:$E$100,2,FALSE)</f>
        <v>Tassa di circolazione dei veicoli a motore (tassa automobilistica)</v>
      </c>
      <c r="O392" s="131">
        <v>1518</v>
      </c>
      <c r="P392" s="614" t="str">
        <f>VLOOKUP(O392,'Centri di Costo'!$A$2:$B$179,2,FALSE)</f>
        <v>Att. Ord. Cansiglio - Spese Generali</v>
      </c>
      <c r="Q392" s="622" t="s">
        <v>1844</v>
      </c>
      <c r="R392" s="642" t="s">
        <v>132</v>
      </c>
    </row>
    <row r="393" spans="1:18" ht="28.5" customHeight="1" outlineLevel="2">
      <c r="A393" s="85" t="s">
        <v>588</v>
      </c>
      <c r="B393" s="400" t="s">
        <v>1865</v>
      </c>
      <c r="C393" s="85" t="s">
        <v>599</v>
      </c>
      <c r="D393" s="148" t="s">
        <v>7</v>
      </c>
      <c r="E393" s="87">
        <v>2018</v>
      </c>
      <c r="F393" s="88">
        <v>125</v>
      </c>
      <c r="G393" s="120" t="s">
        <v>636</v>
      </c>
      <c r="H393" s="581" t="s">
        <v>637</v>
      </c>
      <c r="I393" s="601">
        <v>400</v>
      </c>
      <c r="J393" s="595" t="s">
        <v>36</v>
      </c>
      <c r="K393" s="91">
        <v>1</v>
      </c>
      <c r="L393" s="91">
        <v>2</v>
      </c>
      <c r="M393" s="92">
        <v>29</v>
      </c>
      <c r="N393" s="119" t="str">
        <f>VLOOKUP(M393,'PF Uscite Sp. Corr.'!$C$1:$E$100,2,FALSE)</f>
        <v>Imposte, tasse e proventi assimilati a carico dell'ente n.a.c.</v>
      </c>
      <c r="O393" s="131">
        <v>1518</v>
      </c>
      <c r="P393" s="614" t="str">
        <f>VLOOKUP(O393,'Centri di Costo'!$A$2:$B$179,2,FALSE)</f>
        <v>Att. Ord. Cansiglio - Spese Generali</v>
      </c>
      <c r="Q393" s="622" t="s">
        <v>1844</v>
      </c>
      <c r="R393" s="642" t="s">
        <v>69</v>
      </c>
    </row>
    <row r="394" spans="1:18" ht="28.5" customHeight="1" outlineLevel="2">
      <c r="A394" s="85" t="s">
        <v>588</v>
      </c>
      <c r="B394" s="400" t="s">
        <v>1865</v>
      </c>
      <c r="C394" s="85" t="s">
        <v>599</v>
      </c>
      <c r="D394" s="148" t="s">
        <v>7</v>
      </c>
      <c r="E394" s="87">
        <v>2018</v>
      </c>
      <c r="F394" s="88">
        <v>116</v>
      </c>
      <c r="G394" s="120" t="s">
        <v>602</v>
      </c>
      <c r="H394" s="581" t="s">
        <v>605</v>
      </c>
      <c r="I394" s="601">
        <v>2000</v>
      </c>
      <c r="J394" s="595" t="s">
        <v>36</v>
      </c>
      <c r="K394" s="91">
        <v>1</v>
      </c>
      <c r="L394" s="91">
        <v>3</v>
      </c>
      <c r="M394" s="92">
        <v>32</v>
      </c>
      <c r="N394" s="119" t="str">
        <f>VLOOKUP(M394,'PF Uscite Sp. Corr.'!$C$1:$E$100,2,FALSE)</f>
        <v>Altri beni di consumo</v>
      </c>
      <c r="O394" s="131">
        <v>1511</v>
      </c>
      <c r="P394" s="614" t="str">
        <f>VLOOKUP(O394,'Centri di Costo'!$A$2:$B$179,2,FALSE)</f>
        <v>Att. Ord. Cansiglio - Utilizzazioni Forestali</v>
      </c>
      <c r="Q394" s="623" t="s">
        <v>1999</v>
      </c>
      <c r="R394" s="642" t="s">
        <v>436</v>
      </c>
    </row>
    <row r="395" spans="1:18" ht="28.5" customHeight="1" outlineLevel="2">
      <c r="A395" s="85" t="s">
        <v>588</v>
      </c>
      <c r="B395" s="400" t="s">
        <v>1865</v>
      </c>
      <c r="C395" s="85" t="s">
        <v>599</v>
      </c>
      <c r="D395" s="148" t="s">
        <v>7</v>
      </c>
      <c r="E395" s="87">
        <v>2018</v>
      </c>
      <c r="F395" s="88">
        <v>116</v>
      </c>
      <c r="G395" s="120" t="s">
        <v>602</v>
      </c>
      <c r="H395" s="581" t="s">
        <v>606</v>
      </c>
      <c r="I395" s="601">
        <v>1000</v>
      </c>
      <c r="J395" s="595" t="s">
        <v>36</v>
      </c>
      <c r="K395" s="91">
        <v>1</v>
      </c>
      <c r="L395" s="91">
        <v>3</v>
      </c>
      <c r="M395" s="92">
        <v>32</v>
      </c>
      <c r="N395" s="119" t="str">
        <f>VLOOKUP(M395,'PF Uscite Sp. Corr.'!$C$1:$E$100,2,FALSE)</f>
        <v>Altri beni di consumo</v>
      </c>
      <c r="O395" s="131">
        <v>1511</v>
      </c>
      <c r="P395" s="614" t="str">
        <f>VLOOKUP(O395,'Centri di Costo'!$A$2:$B$179,2,FALSE)</f>
        <v>Att. Ord. Cansiglio - Utilizzazioni Forestali</v>
      </c>
      <c r="Q395" s="623" t="s">
        <v>1999</v>
      </c>
      <c r="R395" s="642" t="s">
        <v>607</v>
      </c>
    </row>
    <row r="396" spans="1:18" ht="28.5" customHeight="1" outlineLevel="2">
      <c r="A396" s="85" t="s">
        <v>588</v>
      </c>
      <c r="B396" s="400" t="s">
        <v>1865</v>
      </c>
      <c r="C396" s="85" t="s">
        <v>599</v>
      </c>
      <c r="D396" s="148" t="s">
        <v>7</v>
      </c>
      <c r="E396" s="87">
        <v>2018</v>
      </c>
      <c r="F396" s="88">
        <v>116</v>
      </c>
      <c r="G396" s="120" t="s">
        <v>602</v>
      </c>
      <c r="H396" s="581" t="s">
        <v>608</v>
      </c>
      <c r="I396" s="601">
        <v>4000</v>
      </c>
      <c r="J396" s="595" t="s">
        <v>36</v>
      </c>
      <c r="K396" s="91">
        <v>1</v>
      </c>
      <c r="L396" s="91">
        <v>3</v>
      </c>
      <c r="M396" s="92">
        <v>32</v>
      </c>
      <c r="N396" s="119" t="str">
        <f>VLOOKUP(M396,'PF Uscite Sp. Corr.'!$C$1:$E$100,2,FALSE)</f>
        <v>Altri beni di consumo</v>
      </c>
      <c r="O396" s="131">
        <v>1511</v>
      </c>
      <c r="P396" s="614" t="str">
        <f>VLOOKUP(O396,'Centri di Costo'!$A$2:$B$179,2,FALSE)</f>
        <v>Att. Ord. Cansiglio - Utilizzazioni Forestali</v>
      </c>
      <c r="Q396" s="623" t="s">
        <v>1999</v>
      </c>
      <c r="R396" s="642" t="s">
        <v>426</v>
      </c>
    </row>
    <row r="397" spans="1:18" ht="28.5" customHeight="1" outlineLevel="2">
      <c r="A397" s="85" t="s">
        <v>588</v>
      </c>
      <c r="B397" s="400" t="s">
        <v>1865</v>
      </c>
      <c r="C397" s="85" t="s">
        <v>599</v>
      </c>
      <c r="D397" s="148" t="s">
        <v>7</v>
      </c>
      <c r="E397" s="87">
        <v>2018</v>
      </c>
      <c r="F397" s="88">
        <v>116</v>
      </c>
      <c r="G397" s="120" t="s">
        <v>602</v>
      </c>
      <c r="H397" s="581" t="s">
        <v>609</v>
      </c>
      <c r="I397" s="601">
        <v>2000</v>
      </c>
      <c r="J397" s="595" t="s">
        <v>36</v>
      </c>
      <c r="K397" s="91">
        <v>1</v>
      </c>
      <c r="L397" s="91">
        <v>3</v>
      </c>
      <c r="M397" s="92">
        <v>32</v>
      </c>
      <c r="N397" s="119" t="str">
        <f>VLOOKUP(M397,'PF Uscite Sp. Corr.'!$C$1:$E$100,2,FALSE)</f>
        <v>Altri beni di consumo</v>
      </c>
      <c r="O397" s="131">
        <v>1511</v>
      </c>
      <c r="P397" s="614" t="str">
        <f>VLOOKUP(O397,'Centri di Costo'!$A$2:$B$179,2,FALSE)</f>
        <v>Att. Ord. Cansiglio - Utilizzazioni Forestali</v>
      </c>
      <c r="Q397" s="623" t="s">
        <v>1999</v>
      </c>
      <c r="R397" s="642" t="s">
        <v>610</v>
      </c>
    </row>
    <row r="398" spans="1:18" ht="28.5" customHeight="1" outlineLevel="2">
      <c r="A398" s="85" t="s">
        <v>588</v>
      </c>
      <c r="B398" s="400" t="s">
        <v>1865</v>
      </c>
      <c r="C398" s="85" t="s">
        <v>599</v>
      </c>
      <c r="D398" s="148" t="s">
        <v>7</v>
      </c>
      <c r="E398" s="87">
        <v>2018</v>
      </c>
      <c r="F398" s="88">
        <v>119</v>
      </c>
      <c r="G398" s="120" t="s">
        <v>626</v>
      </c>
      <c r="H398" s="581" t="s">
        <v>627</v>
      </c>
      <c r="I398" s="601">
        <v>4000</v>
      </c>
      <c r="J398" s="595" t="s">
        <v>36</v>
      </c>
      <c r="K398" s="91">
        <v>1</v>
      </c>
      <c r="L398" s="91">
        <v>3</v>
      </c>
      <c r="M398" s="92">
        <v>32</v>
      </c>
      <c r="N398" s="119" t="str">
        <f>VLOOKUP(M398,'PF Uscite Sp. Corr.'!$C$1:$E$100,2,FALSE)</f>
        <v>Altri beni di consumo</v>
      </c>
      <c r="O398" s="131">
        <v>1512</v>
      </c>
      <c r="P398" s="614" t="str">
        <f>VLOOKUP(O398,'Centri di Costo'!$A$2:$B$179,2,FALSE)</f>
        <v>Att. Ord. Cansiglio - Manutenz. Ambientali e viabilità</v>
      </c>
      <c r="Q398" s="623" t="s">
        <v>1999</v>
      </c>
      <c r="R398" s="642" t="s">
        <v>192</v>
      </c>
    </row>
    <row r="399" spans="1:18" ht="28.5" customHeight="1" outlineLevel="2">
      <c r="A399" s="85" t="s">
        <v>588</v>
      </c>
      <c r="B399" s="400" t="s">
        <v>1865</v>
      </c>
      <c r="C399" s="85" t="s">
        <v>599</v>
      </c>
      <c r="D399" s="148" t="s">
        <v>7</v>
      </c>
      <c r="E399" s="87">
        <v>2018</v>
      </c>
      <c r="F399" s="88">
        <v>119</v>
      </c>
      <c r="G399" s="120" t="s">
        <v>626</v>
      </c>
      <c r="H399" s="581" t="s">
        <v>471</v>
      </c>
      <c r="I399" s="601">
        <v>2500</v>
      </c>
      <c r="J399" s="595" t="s">
        <v>36</v>
      </c>
      <c r="K399" s="91">
        <v>1</v>
      </c>
      <c r="L399" s="91">
        <v>3</v>
      </c>
      <c r="M399" s="92">
        <v>32</v>
      </c>
      <c r="N399" s="119" t="str">
        <f>VLOOKUP(M399,'PF Uscite Sp. Corr.'!$C$1:$E$100,2,FALSE)</f>
        <v>Altri beni di consumo</v>
      </c>
      <c r="O399" s="131">
        <v>1512</v>
      </c>
      <c r="P399" s="614" t="str">
        <f>VLOOKUP(O399,'Centri di Costo'!$A$2:$B$179,2,FALSE)</f>
        <v>Att. Ord. Cansiglio - Manutenz. Ambientali e viabilità</v>
      </c>
      <c r="Q399" s="623" t="s">
        <v>1999</v>
      </c>
      <c r="R399" s="642" t="s">
        <v>472</v>
      </c>
    </row>
    <row r="400" spans="1:18" ht="28.5" customHeight="1" outlineLevel="2">
      <c r="A400" s="85" t="s">
        <v>588</v>
      </c>
      <c r="B400" s="400" t="s">
        <v>1865</v>
      </c>
      <c r="C400" s="85" t="s">
        <v>599</v>
      </c>
      <c r="D400" s="148" t="s">
        <v>7</v>
      </c>
      <c r="E400" s="87">
        <v>2018</v>
      </c>
      <c r="F400" s="88">
        <v>119</v>
      </c>
      <c r="G400" s="120" t="s">
        <v>626</v>
      </c>
      <c r="H400" s="581" t="s">
        <v>629</v>
      </c>
      <c r="I400" s="601">
        <v>5000</v>
      </c>
      <c r="J400" s="595" t="s">
        <v>36</v>
      </c>
      <c r="K400" s="91">
        <v>1</v>
      </c>
      <c r="L400" s="91">
        <v>3</v>
      </c>
      <c r="M400" s="92">
        <v>32</v>
      </c>
      <c r="N400" s="119" t="str">
        <f>VLOOKUP(M400,'PF Uscite Sp. Corr.'!$C$1:$E$100,2,FALSE)</f>
        <v>Altri beni di consumo</v>
      </c>
      <c r="O400" s="131">
        <v>1512</v>
      </c>
      <c r="P400" s="614" t="str">
        <f>VLOOKUP(O400,'Centri di Costo'!$A$2:$B$179,2,FALSE)</f>
        <v>Att. Ord. Cansiglio - Manutenz. Ambientali e viabilità</v>
      </c>
      <c r="Q400" s="623" t="s">
        <v>1999</v>
      </c>
      <c r="R400" s="642" t="s">
        <v>545</v>
      </c>
    </row>
    <row r="401" spans="1:18" ht="28.5" customHeight="1" outlineLevel="2">
      <c r="A401" s="85" t="s">
        <v>588</v>
      </c>
      <c r="B401" s="400" t="s">
        <v>1865</v>
      </c>
      <c r="C401" s="85" t="s">
        <v>599</v>
      </c>
      <c r="D401" s="148" t="s">
        <v>7</v>
      </c>
      <c r="E401" s="87">
        <v>2018</v>
      </c>
      <c r="F401" s="88">
        <v>119</v>
      </c>
      <c r="G401" s="120" t="s">
        <v>626</v>
      </c>
      <c r="H401" s="581" t="s">
        <v>609</v>
      </c>
      <c r="I401" s="601">
        <v>2000</v>
      </c>
      <c r="J401" s="595" t="s">
        <v>36</v>
      </c>
      <c r="K401" s="91">
        <v>1</v>
      </c>
      <c r="L401" s="91">
        <v>3</v>
      </c>
      <c r="M401" s="92">
        <v>32</v>
      </c>
      <c r="N401" s="119" t="str">
        <f>VLOOKUP(M401,'PF Uscite Sp. Corr.'!$C$1:$E$100,2,FALSE)</f>
        <v>Altri beni di consumo</v>
      </c>
      <c r="O401" s="131">
        <v>1512</v>
      </c>
      <c r="P401" s="614" t="str">
        <f>VLOOKUP(O401,'Centri di Costo'!$A$2:$B$179,2,FALSE)</f>
        <v>Att. Ord. Cansiglio - Manutenz. Ambientali e viabilità</v>
      </c>
      <c r="Q401" s="623" t="s">
        <v>1999</v>
      </c>
      <c r="R401" s="642" t="s">
        <v>610</v>
      </c>
    </row>
    <row r="402" spans="1:18" ht="28.5" customHeight="1" outlineLevel="2">
      <c r="A402" s="85" t="s">
        <v>588</v>
      </c>
      <c r="B402" s="400" t="s">
        <v>1865</v>
      </c>
      <c r="C402" s="85" t="s">
        <v>599</v>
      </c>
      <c r="D402" s="148" t="s">
        <v>7</v>
      </c>
      <c r="E402" s="87">
        <v>2018</v>
      </c>
      <c r="F402" s="88">
        <v>119</v>
      </c>
      <c r="G402" s="120" t="s">
        <v>626</v>
      </c>
      <c r="H402" s="581" t="s">
        <v>616</v>
      </c>
      <c r="I402" s="601">
        <v>2500</v>
      </c>
      <c r="J402" s="595" t="s">
        <v>36</v>
      </c>
      <c r="K402" s="91">
        <v>1</v>
      </c>
      <c r="L402" s="91">
        <v>3</v>
      </c>
      <c r="M402" s="92">
        <v>32</v>
      </c>
      <c r="N402" s="119" t="str">
        <f>VLOOKUP(M402,'PF Uscite Sp. Corr.'!$C$1:$E$100,2,FALSE)</f>
        <v>Altri beni di consumo</v>
      </c>
      <c r="O402" s="131">
        <v>1512</v>
      </c>
      <c r="P402" s="614" t="str">
        <f>VLOOKUP(O402,'Centri di Costo'!$A$2:$B$179,2,FALSE)</f>
        <v>Att. Ord. Cansiglio - Manutenz. Ambientali e viabilità</v>
      </c>
      <c r="Q402" s="623" t="s">
        <v>1999</v>
      </c>
      <c r="R402" s="642" t="s">
        <v>436</v>
      </c>
    </row>
    <row r="403" spans="1:18" ht="28.5" customHeight="1" outlineLevel="2">
      <c r="A403" s="85" t="s">
        <v>588</v>
      </c>
      <c r="B403" s="400" t="s">
        <v>1865</v>
      </c>
      <c r="C403" s="85" t="s">
        <v>599</v>
      </c>
      <c r="D403" s="148" t="s">
        <v>7</v>
      </c>
      <c r="E403" s="87">
        <v>2018</v>
      </c>
      <c r="F403" s="88">
        <v>119</v>
      </c>
      <c r="G403" s="120" t="s">
        <v>626</v>
      </c>
      <c r="H403" s="581" t="s">
        <v>2017</v>
      </c>
      <c r="I403" s="601">
        <v>12000</v>
      </c>
      <c r="J403" s="595" t="s">
        <v>36</v>
      </c>
      <c r="K403" s="91">
        <v>1</v>
      </c>
      <c r="L403" s="91">
        <v>3</v>
      </c>
      <c r="M403" s="92">
        <v>32</v>
      </c>
      <c r="N403" s="119" t="str">
        <f>VLOOKUP(M403,'PF Uscite Sp. Corr.'!$C$1:$E$100,2,FALSE)</f>
        <v>Altri beni di consumo</v>
      </c>
      <c r="O403" s="131">
        <v>1512</v>
      </c>
      <c r="P403" s="614" t="str">
        <f>VLOOKUP(O403,'Centri di Costo'!$A$2:$B$179,2,FALSE)</f>
        <v>Att. Ord. Cansiglio - Manutenz. Ambientali e viabilità</v>
      </c>
      <c r="Q403" s="623" t="s">
        <v>1999</v>
      </c>
      <c r="R403" s="642" t="s">
        <v>426</v>
      </c>
    </row>
    <row r="404" spans="1:18" ht="28.5" customHeight="1" outlineLevel="2">
      <c r="A404" s="85" t="s">
        <v>588</v>
      </c>
      <c r="B404" s="400" t="s">
        <v>1865</v>
      </c>
      <c r="C404" s="85" t="s">
        <v>599</v>
      </c>
      <c r="D404" s="148" t="s">
        <v>7</v>
      </c>
      <c r="E404" s="87">
        <v>2018</v>
      </c>
      <c r="F404" s="88">
        <v>117</v>
      </c>
      <c r="G404" s="120" t="s">
        <v>615</v>
      </c>
      <c r="H404" s="581" t="s">
        <v>616</v>
      </c>
      <c r="I404" s="601">
        <v>500</v>
      </c>
      <c r="J404" s="595" t="s">
        <v>36</v>
      </c>
      <c r="K404" s="91">
        <v>1</v>
      </c>
      <c r="L404" s="91">
        <v>3</v>
      </c>
      <c r="M404" s="92">
        <v>32</v>
      </c>
      <c r="N404" s="119" t="str">
        <f>VLOOKUP(M404,'PF Uscite Sp. Corr.'!$C$1:$E$100,2,FALSE)</f>
        <v>Altri beni di consumo</v>
      </c>
      <c r="O404" s="131">
        <v>1514</v>
      </c>
      <c r="P404" s="614" t="str">
        <f>VLOOKUP(O404,'Centri di Costo'!$A$2:$B$179,2,FALSE)</f>
        <v>Att. Ord. Cansiglio - Falegnameria</v>
      </c>
      <c r="Q404" s="623" t="s">
        <v>1999</v>
      </c>
      <c r="R404" s="642" t="s">
        <v>436</v>
      </c>
    </row>
    <row r="405" spans="1:18" ht="28.5" customHeight="1" outlineLevel="2">
      <c r="A405" s="85" t="s">
        <v>588</v>
      </c>
      <c r="B405" s="400" t="s">
        <v>1865</v>
      </c>
      <c r="C405" s="85" t="s">
        <v>599</v>
      </c>
      <c r="D405" s="148" t="s">
        <v>7</v>
      </c>
      <c r="E405" s="87">
        <v>2018</v>
      </c>
      <c r="F405" s="88">
        <v>117</v>
      </c>
      <c r="G405" s="120" t="s">
        <v>615</v>
      </c>
      <c r="H405" s="581" t="s">
        <v>617</v>
      </c>
      <c r="I405" s="601">
        <v>500</v>
      </c>
      <c r="J405" s="595" t="s">
        <v>36</v>
      </c>
      <c r="K405" s="91">
        <v>1</v>
      </c>
      <c r="L405" s="91">
        <v>3</v>
      </c>
      <c r="M405" s="92">
        <v>32</v>
      </c>
      <c r="N405" s="119" t="str">
        <f>VLOOKUP(M405,'PF Uscite Sp. Corr.'!$C$1:$E$100,2,FALSE)</f>
        <v>Altri beni di consumo</v>
      </c>
      <c r="O405" s="131">
        <v>1514</v>
      </c>
      <c r="P405" s="614" t="str">
        <f>VLOOKUP(O405,'Centri di Costo'!$A$2:$B$179,2,FALSE)</f>
        <v>Att. Ord. Cansiglio - Falegnameria</v>
      </c>
      <c r="Q405" s="623" t="s">
        <v>1999</v>
      </c>
      <c r="R405" s="642" t="s">
        <v>610</v>
      </c>
    </row>
    <row r="406" spans="1:18" ht="28.5" customHeight="1" outlineLevel="2">
      <c r="A406" s="85" t="s">
        <v>588</v>
      </c>
      <c r="B406" s="400" t="s">
        <v>1865</v>
      </c>
      <c r="C406" s="85" t="s">
        <v>599</v>
      </c>
      <c r="D406" s="148" t="s">
        <v>7</v>
      </c>
      <c r="E406" s="87">
        <v>2018</v>
      </c>
      <c r="F406" s="88">
        <v>117</v>
      </c>
      <c r="G406" s="120" t="s">
        <v>615</v>
      </c>
      <c r="H406" s="581" t="s">
        <v>618</v>
      </c>
      <c r="I406" s="601">
        <v>4000</v>
      </c>
      <c r="J406" s="595" t="s">
        <v>36</v>
      </c>
      <c r="K406" s="91">
        <v>1</v>
      </c>
      <c r="L406" s="91">
        <v>3</v>
      </c>
      <c r="M406" s="92">
        <v>32</v>
      </c>
      <c r="N406" s="119" t="str">
        <f>VLOOKUP(M406,'PF Uscite Sp. Corr.'!$C$1:$E$100,2,FALSE)</f>
        <v>Altri beni di consumo</v>
      </c>
      <c r="O406" s="131">
        <v>1514</v>
      </c>
      <c r="P406" s="614" t="str">
        <f>VLOOKUP(O406,'Centri di Costo'!$A$2:$B$179,2,FALSE)</f>
        <v>Att. Ord. Cansiglio - Falegnameria</v>
      </c>
      <c r="Q406" s="623" t="s">
        <v>1999</v>
      </c>
      <c r="R406" s="642" t="s">
        <v>192</v>
      </c>
    </row>
    <row r="407" spans="1:18" ht="28.5" customHeight="1" outlineLevel="2">
      <c r="A407" s="85" t="s">
        <v>588</v>
      </c>
      <c r="B407" s="400" t="s">
        <v>1865</v>
      </c>
      <c r="C407" s="85" t="s">
        <v>599</v>
      </c>
      <c r="D407" s="148" t="s">
        <v>7</v>
      </c>
      <c r="E407" s="87">
        <v>2018</v>
      </c>
      <c r="F407" s="88">
        <v>117</v>
      </c>
      <c r="G407" s="120" t="s">
        <v>615</v>
      </c>
      <c r="H407" s="581" t="s">
        <v>619</v>
      </c>
      <c r="I407" s="601">
        <v>2000</v>
      </c>
      <c r="J407" s="595" t="s">
        <v>36</v>
      </c>
      <c r="K407" s="91">
        <v>1</v>
      </c>
      <c r="L407" s="91">
        <v>3</v>
      </c>
      <c r="M407" s="92">
        <v>32</v>
      </c>
      <c r="N407" s="119" t="str">
        <f>VLOOKUP(M407,'PF Uscite Sp. Corr.'!$C$1:$E$100,2,FALSE)</f>
        <v>Altri beni di consumo</v>
      </c>
      <c r="O407" s="131">
        <v>1514</v>
      </c>
      <c r="P407" s="614" t="str">
        <f>VLOOKUP(O407,'Centri di Costo'!$A$2:$B$179,2,FALSE)</f>
        <v>Att. Ord. Cansiglio - Falegnameria</v>
      </c>
      <c r="Q407" s="623" t="s">
        <v>1999</v>
      </c>
      <c r="R407" s="642" t="s">
        <v>472</v>
      </c>
    </row>
    <row r="408" spans="1:18" ht="28.5" customHeight="1" outlineLevel="2">
      <c r="A408" s="85" t="s">
        <v>588</v>
      </c>
      <c r="B408" s="400" t="s">
        <v>1865</v>
      </c>
      <c r="C408" s="85" t="s">
        <v>599</v>
      </c>
      <c r="D408" s="148" t="s">
        <v>7</v>
      </c>
      <c r="E408" s="87">
        <v>2018</v>
      </c>
      <c r="F408" s="88">
        <v>117</v>
      </c>
      <c r="G408" s="120" t="s">
        <v>615</v>
      </c>
      <c r="H408" s="581" t="s">
        <v>620</v>
      </c>
      <c r="I408" s="601">
        <v>1000</v>
      </c>
      <c r="J408" s="595" t="s">
        <v>36</v>
      </c>
      <c r="K408" s="91">
        <v>1</v>
      </c>
      <c r="L408" s="91">
        <v>3</v>
      </c>
      <c r="M408" s="92">
        <v>32</v>
      </c>
      <c r="N408" s="119" t="str">
        <f>VLOOKUP(M408,'PF Uscite Sp. Corr.'!$C$1:$E$100,2,FALSE)</f>
        <v>Altri beni di consumo</v>
      </c>
      <c r="O408" s="131">
        <v>1514</v>
      </c>
      <c r="P408" s="614" t="str">
        <f>VLOOKUP(O408,'Centri di Costo'!$A$2:$B$179,2,FALSE)</f>
        <v>Att. Ord. Cansiglio - Falegnameria</v>
      </c>
      <c r="Q408" s="623" t="s">
        <v>1999</v>
      </c>
      <c r="R408" s="642" t="s">
        <v>424</v>
      </c>
    </row>
    <row r="409" spans="1:18" ht="28.5" customHeight="1" outlineLevel="2">
      <c r="A409" s="85" t="s">
        <v>588</v>
      </c>
      <c r="B409" s="400" t="s">
        <v>1865</v>
      </c>
      <c r="C409" s="85" t="s">
        <v>599</v>
      </c>
      <c r="D409" s="148" t="s">
        <v>7</v>
      </c>
      <c r="E409" s="87">
        <v>2018</v>
      </c>
      <c r="F409" s="88">
        <v>117</v>
      </c>
      <c r="G409" s="120" t="s">
        <v>615</v>
      </c>
      <c r="H409" s="581" t="s">
        <v>623</v>
      </c>
      <c r="I409" s="601">
        <v>3000</v>
      </c>
      <c r="J409" s="595" t="s">
        <v>36</v>
      </c>
      <c r="K409" s="91">
        <v>1</v>
      </c>
      <c r="L409" s="91">
        <v>3</v>
      </c>
      <c r="M409" s="92">
        <v>32</v>
      </c>
      <c r="N409" s="119" t="str">
        <f>VLOOKUP(M409,'PF Uscite Sp. Corr.'!$C$1:$E$100,2,FALSE)</f>
        <v>Altri beni di consumo</v>
      </c>
      <c r="O409" s="131">
        <v>1514</v>
      </c>
      <c r="P409" s="614" t="str">
        <f>VLOOKUP(O409,'Centri di Costo'!$A$2:$B$179,2,FALSE)</f>
        <v>Att. Ord. Cansiglio - Falegnameria</v>
      </c>
      <c r="Q409" s="623" t="s">
        <v>1999</v>
      </c>
      <c r="R409" s="642" t="s">
        <v>551</v>
      </c>
    </row>
    <row r="410" spans="1:18" ht="28.5" customHeight="1" outlineLevel="2">
      <c r="A410" s="85" t="s">
        <v>588</v>
      </c>
      <c r="B410" s="400" t="s">
        <v>1865</v>
      </c>
      <c r="C410" s="85" t="s">
        <v>599</v>
      </c>
      <c r="D410" s="148" t="s">
        <v>7</v>
      </c>
      <c r="E410" s="87">
        <v>2018</v>
      </c>
      <c r="F410" s="88">
        <v>130</v>
      </c>
      <c r="G410" s="120" t="s">
        <v>631</v>
      </c>
      <c r="H410" s="581" t="s">
        <v>635</v>
      </c>
      <c r="I410" s="601">
        <v>500</v>
      </c>
      <c r="J410" s="595" t="s">
        <v>36</v>
      </c>
      <c r="K410" s="91">
        <v>1</v>
      </c>
      <c r="L410" s="91">
        <v>3</v>
      </c>
      <c r="M410" s="92">
        <v>32</v>
      </c>
      <c r="N410" s="119" t="str">
        <f>VLOOKUP(M410,'PF Uscite Sp. Corr.'!$C$1:$E$100,2,FALSE)</f>
        <v>Altri beni di consumo</v>
      </c>
      <c r="O410" s="131">
        <v>1515</v>
      </c>
      <c r="P410" s="614" t="str">
        <f>VLOOKUP(O410,'Centri di Costo'!$A$2:$B$179,2,FALSE)</f>
        <v>Att. Ord. Cansiglio - Area di Sosta</v>
      </c>
      <c r="Q410" s="623" t="s">
        <v>1999</v>
      </c>
      <c r="R410" s="642" t="s">
        <v>192</v>
      </c>
    </row>
    <row r="411" spans="1:18" ht="28.5" customHeight="1" outlineLevel="2">
      <c r="A411" s="85" t="s">
        <v>588</v>
      </c>
      <c r="B411" s="400" t="s">
        <v>1865</v>
      </c>
      <c r="C411" s="85" t="s">
        <v>599</v>
      </c>
      <c r="D411" s="148" t="s">
        <v>7</v>
      </c>
      <c r="E411" s="87">
        <v>2018</v>
      </c>
      <c r="F411" s="88">
        <v>130</v>
      </c>
      <c r="G411" s="120" t="s">
        <v>631</v>
      </c>
      <c r="H411" s="581" t="s">
        <v>575</v>
      </c>
      <c r="I411" s="601">
        <v>500</v>
      </c>
      <c r="J411" s="595" t="s">
        <v>36</v>
      </c>
      <c r="K411" s="91">
        <v>1</v>
      </c>
      <c r="L411" s="91">
        <v>3</v>
      </c>
      <c r="M411" s="92">
        <v>32</v>
      </c>
      <c r="N411" s="119" t="str">
        <f>VLOOKUP(M411,'PF Uscite Sp. Corr.'!$C$1:$E$100,2,FALSE)</f>
        <v>Altri beni di consumo</v>
      </c>
      <c r="O411" s="131">
        <v>1515</v>
      </c>
      <c r="P411" s="614" t="str">
        <f>VLOOKUP(O411,'Centri di Costo'!$A$2:$B$179,2,FALSE)</f>
        <v>Att. Ord. Cansiglio - Area di Sosta</v>
      </c>
      <c r="Q411" s="623" t="s">
        <v>1999</v>
      </c>
      <c r="R411" s="642" t="s">
        <v>576</v>
      </c>
    </row>
    <row r="412" spans="1:18" ht="28.5" customHeight="1" outlineLevel="2">
      <c r="A412" s="85" t="s">
        <v>588</v>
      </c>
      <c r="B412" s="400" t="s">
        <v>1865</v>
      </c>
      <c r="C412" s="85" t="s">
        <v>599</v>
      </c>
      <c r="D412" s="148" t="s">
        <v>7</v>
      </c>
      <c r="E412" s="87">
        <v>2018</v>
      </c>
      <c r="F412" s="88">
        <v>125</v>
      </c>
      <c r="G412" s="120" t="s">
        <v>636</v>
      </c>
      <c r="H412" s="581" t="s">
        <v>357</v>
      </c>
      <c r="I412" s="601">
        <v>1200</v>
      </c>
      <c r="J412" s="595" t="s">
        <v>36</v>
      </c>
      <c r="K412" s="91">
        <v>1</v>
      </c>
      <c r="L412" s="91">
        <v>3</v>
      </c>
      <c r="M412" s="92">
        <v>32</v>
      </c>
      <c r="N412" s="119" t="str">
        <f>VLOOKUP(M412,'PF Uscite Sp. Corr.'!$C$1:$E$100,2,FALSE)</f>
        <v>Altri beni di consumo</v>
      </c>
      <c r="O412" s="131">
        <v>1518</v>
      </c>
      <c r="P412" s="614" t="str">
        <f>VLOOKUP(O412,'Centri di Costo'!$A$2:$B$179,2,FALSE)</f>
        <v>Att. Ord. Cansiglio - Spese Generali</v>
      </c>
      <c r="Q412" s="623" t="s">
        <v>1999</v>
      </c>
      <c r="R412" s="642" t="s">
        <v>72</v>
      </c>
    </row>
    <row r="413" spans="1:18" ht="28.5" customHeight="1" outlineLevel="2">
      <c r="A413" s="85" t="s">
        <v>588</v>
      </c>
      <c r="B413" s="400" t="s">
        <v>1865</v>
      </c>
      <c r="C413" s="85" t="s">
        <v>599</v>
      </c>
      <c r="D413" s="148" t="s">
        <v>7</v>
      </c>
      <c r="E413" s="87">
        <v>2018</v>
      </c>
      <c r="F413" s="88">
        <v>125</v>
      </c>
      <c r="G413" s="120" t="s">
        <v>636</v>
      </c>
      <c r="H413" s="581" t="s">
        <v>649</v>
      </c>
      <c r="I413" s="601">
        <v>3500</v>
      </c>
      <c r="J413" s="595" t="s">
        <v>36</v>
      </c>
      <c r="K413" s="91">
        <v>1</v>
      </c>
      <c r="L413" s="91">
        <v>3</v>
      </c>
      <c r="M413" s="92">
        <v>32</v>
      </c>
      <c r="N413" s="119" t="str">
        <f>VLOOKUP(M413,'PF Uscite Sp. Corr.'!$C$1:$E$100,2,FALSE)</f>
        <v>Altri beni di consumo</v>
      </c>
      <c r="O413" s="131">
        <v>1518</v>
      </c>
      <c r="P413" s="614" t="str">
        <f>VLOOKUP(O413,'Centri di Costo'!$A$2:$B$179,2,FALSE)</f>
        <v>Att. Ord. Cansiglio - Spese Generali</v>
      </c>
      <c r="Q413" s="623" t="s">
        <v>2014</v>
      </c>
      <c r="R413" s="642" t="s">
        <v>113</v>
      </c>
    </row>
    <row r="414" spans="1:18" ht="28.5" customHeight="1" outlineLevel="2">
      <c r="A414" s="85" t="s">
        <v>588</v>
      </c>
      <c r="B414" s="400" t="s">
        <v>1865</v>
      </c>
      <c r="C414" s="85" t="s">
        <v>599</v>
      </c>
      <c r="D414" s="148" t="s">
        <v>7</v>
      </c>
      <c r="E414" s="87">
        <v>2018</v>
      </c>
      <c r="F414" s="88">
        <v>125</v>
      </c>
      <c r="G414" s="120" t="s">
        <v>636</v>
      </c>
      <c r="H414" s="581" t="s">
        <v>650</v>
      </c>
      <c r="I414" s="601">
        <v>4000</v>
      </c>
      <c r="J414" s="595" t="s">
        <v>36</v>
      </c>
      <c r="K414" s="91">
        <v>1</v>
      </c>
      <c r="L414" s="91">
        <v>3</v>
      </c>
      <c r="M414" s="92">
        <v>32</v>
      </c>
      <c r="N414" s="119" t="str">
        <f>VLOOKUP(M414,'PF Uscite Sp. Corr.'!$C$1:$E$100,2,FALSE)</f>
        <v>Altri beni di consumo</v>
      </c>
      <c r="O414" s="131">
        <v>1518</v>
      </c>
      <c r="P414" s="614" t="str">
        <f>VLOOKUP(O414,'Centri di Costo'!$A$2:$B$179,2,FALSE)</f>
        <v>Att. Ord. Cansiglio - Spese Generali</v>
      </c>
      <c r="Q414" s="623" t="s">
        <v>2014</v>
      </c>
      <c r="R414" s="642" t="s">
        <v>107</v>
      </c>
    </row>
    <row r="415" spans="1:18" ht="28.5" customHeight="1" outlineLevel="2">
      <c r="A415" s="85" t="s">
        <v>588</v>
      </c>
      <c r="B415" s="400" t="s">
        <v>1865</v>
      </c>
      <c r="C415" s="85" t="s">
        <v>599</v>
      </c>
      <c r="D415" s="148" t="s">
        <v>7</v>
      </c>
      <c r="E415" s="87">
        <v>2018</v>
      </c>
      <c r="F415" s="88">
        <v>125</v>
      </c>
      <c r="G415" s="120" t="s">
        <v>636</v>
      </c>
      <c r="H415" s="581" t="s">
        <v>651</v>
      </c>
      <c r="I415" s="601">
        <v>1000</v>
      </c>
      <c r="J415" s="595" t="s">
        <v>36</v>
      </c>
      <c r="K415" s="91">
        <v>1</v>
      </c>
      <c r="L415" s="91">
        <v>3</v>
      </c>
      <c r="M415" s="92">
        <v>32</v>
      </c>
      <c r="N415" s="119" t="str">
        <f>VLOOKUP(M415,'PF Uscite Sp. Corr.'!$C$1:$E$100,2,FALSE)</f>
        <v>Altri beni di consumo</v>
      </c>
      <c r="O415" s="131">
        <v>1518</v>
      </c>
      <c r="P415" s="614" t="str">
        <f>VLOOKUP(O415,'Centri di Costo'!$A$2:$B$179,2,FALSE)</f>
        <v>Att. Ord. Cansiglio - Spese Generali</v>
      </c>
      <c r="Q415" s="623" t="s">
        <v>1999</v>
      </c>
      <c r="R415" s="642" t="s">
        <v>434</v>
      </c>
    </row>
    <row r="416" spans="1:18" ht="28.5" customHeight="1" outlineLevel="2">
      <c r="A416" s="85" t="s">
        <v>588</v>
      </c>
      <c r="B416" s="400" t="s">
        <v>1865</v>
      </c>
      <c r="C416" s="85" t="s">
        <v>599</v>
      </c>
      <c r="D416" s="148" t="s">
        <v>7</v>
      </c>
      <c r="E416" s="87">
        <v>2018</v>
      </c>
      <c r="F416" s="88">
        <v>125</v>
      </c>
      <c r="G416" s="120" t="s">
        <v>636</v>
      </c>
      <c r="H416" s="581" t="s">
        <v>317</v>
      </c>
      <c r="I416" s="601">
        <v>1000</v>
      </c>
      <c r="J416" s="595" t="s">
        <v>36</v>
      </c>
      <c r="K416" s="91">
        <v>1</v>
      </c>
      <c r="L416" s="91">
        <v>3</v>
      </c>
      <c r="M416" s="92">
        <v>32</v>
      </c>
      <c r="N416" s="119" t="str">
        <f>VLOOKUP(M416,'PF Uscite Sp. Corr.'!$C$1:$E$100,2,FALSE)</f>
        <v>Altri beni di consumo</v>
      </c>
      <c r="O416" s="131">
        <v>1518</v>
      </c>
      <c r="P416" s="614" t="str">
        <f>VLOOKUP(O416,'Centri di Costo'!$A$2:$B$179,2,FALSE)</f>
        <v>Att. Ord. Cansiglio - Spese Generali</v>
      </c>
      <c r="Q416" s="623" t="s">
        <v>1999</v>
      </c>
      <c r="R416" s="642" t="s">
        <v>652</v>
      </c>
    </row>
    <row r="417" spans="1:18" ht="28.5" customHeight="1" outlineLevel="2">
      <c r="A417" s="85" t="s">
        <v>588</v>
      </c>
      <c r="B417" s="400" t="s">
        <v>1865</v>
      </c>
      <c r="C417" s="85" t="s">
        <v>599</v>
      </c>
      <c r="D417" s="148" t="s">
        <v>7</v>
      </c>
      <c r="E417" s="87">
        <v>2018</v>
      </c>
      <c r="F417" s="88">
        <v>125</v>
      </c>
      <c r="G417" s="120" t="s">
        <v>636</v>
      </c>
      <c r="H417" s="581" t="s">
        <v>653</v>
      </c>
      <c r="I417" s="601">
        <v>2000</v>
      </c>
      <c r="J417" s="595" t="s">
        <v>36</v>
      </c>
      <c r="K417" s="91">
        <v>1</v>
      </c>
      <c r="L417" s="91">
        <v>3</v>
      </c>
      <c r="M417" s="92">
        <v>32</v>
      </c>
      <c r="N417" s="119" t="str">
        <f>VLOOKUP(M417,'PF Uscite Sp. Corr.'!$C$1:$E$100,2,FALSE)</f>
        <v>Altri beni di consumo</v>
      </c>
      <c r="O417" s="131">
        <v>1518</v>
      </c>
      <c r="P417" s="614" t="str">
        <f>VLOOKUP(O417,'Centri di Costo'!$A$2:$B$179,2,FALSE)</f>
        <v>Att. Ord. Cansiglio - Spese Generali</v>
      </c>
      <c r="Q417" s="623" t="s">
        <v>1999</v>
      </c>
      <c r="R417" s="642" t="s">
        <v>190</v>
      </c>
    </row>
    <row r="418" spans="1:18" ht="28.5" customHeight="1" outlineLevel="2">
      <c r="A418" s="85" t="s">
        <v>588</v>
      </c>
      <c r="B418" s="400" t="s">
        <v>1865</v>
      </c>
      <c r="C418" s="85" t="s">
        <v>599</v>
      </c>
      <c r="D418" s="148" t="s">
        <v>7</v>
      </c>
      <c r="E418" s="87">
        <v>2018</v>
      </c>
      <c r="F418" s="88">
        <v>125</v>
      </c>
      <c r="G418" s="120" t="s">
        <v>636</v>
      </c>
      <c r="H418" s="581" t="s">
        <v>575</v>
      </c>
      <c r="I418" s="601">
        <v>1000</v>
      </c>
      <c r="J418" s="595" t="s">
        <v>36</v>
      </c>
      <c r="K418" s="91">
        <v>1</v>
      </c>
      <c r="L418" s="91">
        <v>3</v>
      </c>
      <c r="M418" s="92">
        <v>32</v>
      </c>
      <c r="N418" s="119" t="str">
        <f>VLOOKUP(M418,'PF Uscite Sp. Corr.'!$C$1:$E$100,2,FALSE)</f>
        <v>Altri beni di consumo</v>
      </c>
      <c r="O418" s="131">
        <v>1518</v>
      </c>
      <c r="P418" s="614" t="str">
        <f>VLOOKUP(O418,'Centri di Costo'!$A$2:$B$179,2,FALSE)</f>
        <v>Att. Ord. Cansiglio - Spese Generali</v>
      </c>
      <c r="Q418" s="623" t="s">
        <v>1999</v>
      </c>
      <c r="R418" s="642" t="s">
        <v>576</v>
      </c>
    </row>
    <row r="419" spans="1:18" ht="28.5" customHeight="1" outlineLevel="2">
      <c r="A419" s="85" t="s">
        <v>588</v>
      </c>
      <c r="B419" s="400" t="s">
        <v>1865</v>
      </c>
      <c r="C419" s="85" t="s">
        <v>599</v>
      </c>
      <c r="D419" s="148" t="s">
        <v>7</v>
      </c>
      <c r="E419" s="87">
        <v>2018</v>
      </c>
      <c r="F419" s="88">
        <v>125</v>
      </c>
      <c r="G419" s="120" t="s">
        <v>636</v>
      </c>
      <c r="H419" s="581" t="s">
        <v>654</v>
      </c>
      <c r="I419" s="601">
        <v>2500</v>
      </c>
      <c r="J419" s="595" t="s">
        <v>36</v>
      </c>
      <c r="K419" s="91">
        <v>1</v>
      </c>
      <c r="L419" s="91">
        <v>3</v>
      </c>
      <c r="M419" s="92">
        <v>32</v>
      </c>
      <c r="N419" s="119" t="str">
        <f>VLOOKUP(M419,'PF Uscite Sp. Corr.'!$C$1:$E$100,2,FALSE)</f>
        <v>Altri beni di consumo</v>
      </c>
      <c r="O419" s="131">
        <v>1518</v>
      </c>
      <c r="P419" s="614" t="str">
        <f>VLOOKUP(O419,'Centri di Costo'!$A$2:$B$179,2,FALSE)</f>
        <v>Att. Ord. Cansiglio - Spese Generali</v>
      </c>
      <c r="Q419" s="623" t="s">
        <v>1999</v>
      </c>
      <c r="R419" s="642" t="s">
        <v>483</v>
      </c>
    </row>
    <row r="420" spans="1:18" ht="28.5" customHeight="1" outlineLevel="2">
      <c r="A420" s="85" t="s">
        <v>588</v>
      </c>
      <c r="B420" s="400" t="s">
        <v>1865</v>
      </c>
      <c r="C420" s="85" t="s">
        <v>599</v>
      </c>
      <c r="D420" s="148" t="s">
        <v>7</v>
      </c>
      <c r="E420" s="87">
        <v>2018</v>
      </c>
      <c r="F420" s="88">
        <v>125</v>
      </c>
      <c r="G420" s="120" t="s">
        <v>636</v>
      </c>
      <c r="H420" s="581" t="s">
        <v>635</v>
      </c>
      <c r="I420" s="601">
        <v>2000</v>
      </c>
      <c r="J420" s="595" t="s">
        <v>36</v>
      </c>
      <c r="K420" s="91">
        <v>1</v>
      </c>
      <c r="L420" s="91">
        <v>3</v>
      </c>
      <c r="M420" s="92">
        <v>32</v>
      </c>
      <c r="N420" s="119" t="str">
        <f>VLOOKUP(M420,'PF Uscite Sp. Corr.'!$C$1:$E$100,2,FALSE)</f>
        <v>Altri beni di consumo</v>
      </c>
      <c r="O420" s="131">
        <v>1518</v>
      </c>
      <c r="P420" s="614" t="str">
        <f>VLOOKUP(O420,'Centri di Costo'!$A$2:$B$179,2,FALSE)</f>
        <v>Att. Ord. Cansiglio - Spese Generali</v>
      </c>
      <c r="Q420" s="623" t="s">
        <v>1999</v>
      </c>
      <c r="R420" s="642" t="s">
        <v>192</v>
      </c>
    </row>
    <row r="421" spans="1:18" ht="28.5" customHeight="1" outlineLevel="2">
      <c r="A421" s="85" t="s">
        <v>588</v>
      </c>
      <c r="B421" s="400" t="s">
        <v>1865</v>
      </c>
      <c r="C421" s="85" t="s">
        <v>599</v>
      </c>
      <c r="D421" s="148" t="s">
        <v>7</v>
      </c>
      <c r="E421" s="87">
        <v>2018</v>
      </c>
      <c r="F421" s="88">
        <v>130</v>
      </c>
      <c r="G421" s="120" t="s">
        <v>631</v>
      </c>
      <c r="H421" s="581" t="s">
        <v>57</v>
      </c>
      <c r="I421" s="601">
        <v>5000</v>
      </c>
      <c r="J421" s="595" t="s">
        <v>36</v>
      </c>
      <c r="K421" s="91">
        <v>1</v>
      </c>
      <c r="L421" s="91">
        <v>3</v>
      </c>
      <c r="M421" s="92">
        <v>45</v>
      </c>
      <c r="N421" s="119" t="str">
        <f>VLOOKUP(M421,'PF Uscite Sp. Corr.'!$C$1:$E$100,2,FALSE)</f>
        <v>Utenze e canoni</v>
      </c>
      <c r="O421" s="131">
        <v>1515</v>
      </c>
      <c r="P421" s="614" t="str">
        <f>VLOOKUP(O421,'Centri di Costo'!$A$2:$B$179,2,FALSE)</f>
        <v>Att. Ord. Cansiglio - Area di Sosta</v>
      </c>
      <c r="Q421" s="624" t="s">
        <v>2014</v>
      </c>
      <c r="R421" s="642" t="s">
        <v>58</v>
      </c>
    </row>
    <row r="422" spans="1:18" ht="28.5" customHeight="1" outlineLevel="2">
      <c r="A422" s="85" t="s">
        <v>588</v>
      </c>
      <c r="B422" s="400" t="s">
        <v>1865</v>
      </c>
      <c r="C422" s="85" t="s">
        <v>599</v>
      </c>
      <c r="D422" s="148" t="s">
        <v>7</v>
      </c>
      <c r="E422" s="87">
        <v>2018</v>
      </c>
      <c r="F422" s="88">
        <v>130</v>
      </c>
      <c r="G422" s="120" t="s">
        <v>631</v>
      </c>
      <c r="H422" s="581" t="s">
        <v>66</v>
      </c>
      <c r="I422" s="601">
        <v>4000</v>
      </c>
      <c r="J422" s="595" t="s">
        <v>36</v>
      </c>
      <c r="K422" s="91">
        <v>1</v>
      </c>
      <c r="L422" s="91">
        <v>3</v>
      </c>
      <c r="M422" s="92">
        <v>45</v>
      </c>
      <c r="N422" s="119" t="str">
        <f>VLOOKUP(M422,'PF Uscite Sp. Corr.'!$C$1:$E$100,2,FALSE)</f>
        <v>Utenze e canoni</v>
      </c>
      <c r="O422" s="131">
        <v>1515</v>
      </c>
      <c r="P422" s="614" t="str">
        <f>VLOOKUP(O422,'Centri di Costo'!$A$2:$B$179,2,FALSE)</f>
        <v>Att. Ord. Cansiglio - Area di Sosta</v>
      </c>
      <c r="Q422" s="623" t="s">
        <v>1999</v>
      </c>
      <c r="R422" s="642" t="s">
        <v>67</v>
      </c>
    </row>
    <row r="423" spans="1:18" ht="28.5" customHeight="1" outlineLevel="2">
      <c r="A423" s="85" t="s">
        <v>588</v>
      </c>
      <c r="B423" s="400" t="s">
        <v>1865</v>
      </c>
      <c r="C423" s="85" t="s">
        <v>599</v>
      </c>
      <c r="D423" s="148" t="s">
        <v>7</v>
      </c>
      <c r="E423" s="87">
        <v>2018</v>
      </c>
      <c r="F423" s="88">
        <v>125</v>
      </c>
      <c r="G423" s="120" t="s">
        <v>636</v>
      </c>
      <c r="H423" s="581" t="s">
        <v>644</v>
      </c>
      <c r="I423" s="601">
        <v>3000</v>
      </c>
      <c r="J423" s="595" t="s">
        <v>36</v>
      </c>
      <c r="K423" s="91">
        <v>1</v>
      </c>
      <c r="L423" s="91">
        <v>3</v>
      </c>
      <c r="M423" s="92">
        <v>45</v>
      </c>
      <c r="N423" s="119" t="str">
        <f>VLOOKUP(M423,'PF Uscite Sp. Corr.'!$C$1:$E$100,2,FALSE)</f>
        <v>Utenze e canoni</v>
      </c>
      <c r="O423" s="131">
        <v>1518</v>
      </c>
      <c r="P423" s="614" t="str">
        <f>VLOOKUP(O423,'Centri di Costo'!$A$2:$B$179,2,FALSE)</f>
        <v>Att. Ord. Cansiglio - Spese Generali</v>
      </c>
      <c r="Q423" s="624" t="s">
        <v>2014</v>
      </c>
      <c r="R423" s="642" t="s">
        <v>75</v>
      </c>
    </row>
    <row r="424" spans="1:18" ht="28.5" customHeight="1" outlineLevel="2">
      <c r="A424" s="85" t="s">
        <v>588</v>
      </c>
      <c r="B424" s="400" t="s">
        <v>1865</v>
      </c>
      <c r="C424" s="85" t="s">
        <v>599</v>
      </c>
      <c r="D424" s="148" t="s">
        <v>7</v>
      </c>
      <c r="E424" s="87">
        <v>2018</v>
      </c>
      <c r="F424" s="88">
        <v>125</v>
      </c>
      <c r="G424" s="120" t="s">
        <v>636</v>
      </c>
      <c r="H424" s="581" t="s">
        <v>62</v>
      </c>
      <c r="I424" s="601">
        <v>700</v>
      </c>
      <c r="J424" s="595" t="s">
        <v>36</v>
      </c>
      <c r="K424" s="91">
        <v>1</v>
      </c>
      <c r="L424" s="91">
        <v>3</v>
      </c>
      <c r="M424" s="92">
        <v>45</v>
      </c>
      <c r="N424" s="119" t="str">
        <f>VLOOKUP(M424,'PF Uscite Sp. Corr.'!$C$1:$E$100,2,FALSE)</f>
        <v>Utenze e canoni</v>
      </c>
      <c r="O424" s="131">
        <v>1518</v>
      </c>
      <c r="P424" s="614" t="str">
        <f>VLOOKUP(O424,'Centri di Costo'!$A$2:$B$179,2,FALSE)</f>
        <v>Att. Ord. Cansiglio - Spese Generali</v>
      </c>
      <c r="Q424" s="624" t="s">
        <v>2014</v>
      </c>
      <c r="R424" s="642" t="s">
        <v>63</v>
      </c>
    </row>
    <row r="425" spans="1:18" ht="28.5" customHeight="1" outlineLevel="2">
      <c r="A425" s="85" t="s">
        <v>588</v>
      </c>
      <c r="B425" s="400" t="s">
        <v>1865</v>
      </c>
      <c r="C425" s="85" t="s">
        <v>599</v>
      </c>
      <c r="D425" s="148" t="s">
        <v>7</v>
      </c>
      <c r="E425" s="87">
        <v>2018</v>
      </c>
      <c r="F425" s="88">
        <v>125</v>
      </c>
      <c r="G425" s="120" t="s">
        <v>636</v>
      </c>
      <c r="H425" s="581" t="s">
        <v>66</v>
      </c>
      <c r="I425" s="601">
        <v>3000</v>
      </c>
      <c r="J425" s="595" t="s">
        <v>36</v>
      </c>
      <c r="K425" s="91">
        <v>1</v>
      </c>
      <c r="L425" s="91">
        <v>3</v>
      </c>
      <c r="M425" s="92">
        <v>45</v>
      </c>
      <c r="N425" s="119" t="str">
        <f>VLOOKUP(M425,'PF Uscite Sp. Corr.'!$C$1:$E$100,2,FALSE)</f>
        <v>Utenze e canoni</v>
      </c>
      <c r="O425" s="131">
        <v>1518</v>
      </c>
      <c r="P425" s="614" t="str">
        <f>VLOOKUP(O425,'Centri di Costo'!$A$2:$B$179,2,FALSE)</f>
        <v>Att. Ord. Cansiglio - Spese Generali</v>
      </c>
      <c r="Q425" s="623" t="s">
        <v>1999</v>
      </c>
      <c r="R425" s="642" t="s">
        <v>67</v>
      </c>
    </row>
    <row r="426" spans="1:18" ht="28.5" customHeight="1" outlineLevel="2">
      <c r="A426" s="85" t="s">
        <v>588</v>
      </c>
      <c r="B426" s="400" t="s">
        <v>1865</v>
      </c>
      <c r="C426" s="85" t="s">
        <v>599</v>
      </c>
      <c r="D426" s="148" t="s">
        <v>7</v>
      </c>
      <c r="E426" s="87">
        <v>2018</v>
      </c>
      <c r="F426" s="88">
        <v>125</v>
      </c>
      <c r="G426" s="120" t="s">
        <v>636</v>
      </c>
      <c r="H426" s="581" t="s">
        <v>57</v>
      </c>
      <c r="I426" s="601">
        <v>5000</v>
      </c>
      <c r="J426" s="595" t="s">
        <v>36</v>
      </c>
      <c r="K426" s="91">
        <v>1</v>
      </c>
      <c r="L426" s="91">
        <v>3</v>
      </c>
      <c r="M426" s="92">
        <v>45</v>
      </c>
      <c r="N426" s="119" t="str">
        <f>VLOOKUP(M426,'PF Uscite Sp. Corr.'!$C$1:$E$100,2,FALSE)</f>
        <v>Utenze e canoni</v>
      </c>
      <c r="O426" s="131">
        <v>1518</v>
      </c>
      <c r="P426" s="614" t="str">
        <f>VLOOKUP(O426,'Centri di Costo'!$A$2:$B$179,2,FALSE)</f>
        <v>Att. Ord. Cansiglio - Spese Generali</v>
      </c>
      <c r="Q426" s="624" t="s">
        <v>2014</v>
      </c>
      <c r="R426" s="642" t="s">
        <v>58</v>
      </c>
    </row>
    <row r="427" spans="1:18" ht="28.5" customHeight="1" outlineLevel="2">
      <c r="A427" s="85" t="s">
        <v>588</v>
      </c>
      <c r="B427" s="400" t="s">
        <v>1865</v>
      </c>
      <c r="C427" s="85" t="s">
        <v>599</v>
      </c>
      <c r="D427" s="148" t="s">
        <v>7</v>
      </c>
      <c r="E427" s="87">
        <v>2018</v>
      </c>
      <c r="F427" s="88">
        <v>125</v>
      </c>
      <c r="G427" s="120" t="s">
        <v>636</v>
      </c>
      <c r="H427" s="581" t="s">
        <v>64</v>
      </c>
      <c r="I427" s="601">
        <v>2500</v>
      </c>
      <c r="J427" s="595" t="s">
        <v>36</v>
      </c>
      <c r="K427" s="91">
        <v>1</v>
      </c>
      <c r="L427" s="91">
        <v>3</v>
      </c>
      <c r="M427" s="92">
        <v>45</v>
      </c>
      <c r="N427" s="119" t="str">
        <f>VLOOKUP(M427,'PF Uscite Sp. Corr.'!$C$1:$E$100,2,FALSE)</f>
        <v>Utenze e canoni</v>
      </c>
      <c r="O427" s="131">
        <v>1518</v>
      </c>
      <c r="P427" s="614" t="str">
        <f>VLOOKUP(O427,'Centri di Costo'!$A$2:$B$179,2,FALSE)</f>
        <v>Att. Ord. Cansiglio - Spese Generali</v>
      </c>
      <c r="Q427" s="624" t="s">
        <v>2014</v>
      </c>
      <c r="R427" s="642" t="s">
        <v>65</v>
      </c>
    </row>
    <row r="428" spans="1:18" ht="28.5" customHeight="1" outlineLevel="2">
      <c r="A428" s="85" t="s">
        <v>588</v>
      </c>
      <c r="B428" s="400" t="s">
        <v>1865</v>
      </c>
      <c r="C428" s="85" t="s">
        <v>599</v>
      </c>
      <c r="D428" s="148" t="s">
        <v>7</v>
      </c>
      <c r="E428" s="87">
        <v>2018</v>
      </c>
      <c r="F428" s="88">
        <v>119</v>
      </c>
      <c r="G428" s="120" t="s">
        <v>626</v>
      </c>
      <c r="H428" s="581" t="s">
        <v>628</v>
      </c>
      <c r="I428" s="601">
        <v>2000</v>
      </c>
      <c r="J428" s="595" t="s">
        <v>36</v>
      </c>
      <c r="K428" s="91">
        <v>1</v>
      </c>
      <c r="L428" s="91">
        <v>3</v>
      </c>
      <c r="M428" s="92">
        <v>47</v>
      </c>
      <c r="N428" s="119" t="str">
        <f>VLOOKUP(M428,'PF Uscite Sp. Corr.'!$C$1:$E$100,2,FALSE)</f>
        <v>Utilizzo di beni di terzi</v>
      </c>
      <c r="O428" s="131">
        <v>1512</v>
      </c>
      <c r="P428" s="614" t="str">
        <f>VLOOKUP(O428,'Centri di Costo'!$A$2:$B$179,2,FALSE)</f>
        <v>Att. Ord. Cansiglio - Manutenz. Ambientali e viabilità</v>
      </c>
      <c r="Q428" s="623" t="s">
        <v>1999</v>
      </c>
      <c r="R428" s="642" t="s">
        <v>555</v>
      </c>
    </row>
    <row r="429" spans="1:18" ht="28.5" customHeight="1" outlineLevel="2">
      <c r="A429" s="85" t="s">
        <v>588</v>
      </c>
      <c r="B429" s="400" t="s">
        <v>1865</v>
      </c>
      <c r="C429" s="85" t="s">
        <v>599</v>
      </c>
      <c r="D429" s="148" t="s">
        <v>7</v>
      </c>
      <c r="E429" s="87">
        <v>2018</v>
      </c>
      <c r="F429" s="88">
        <v>125</v>
      </c>
      <c r="G429" s="120" t="s">
        <v>636</v>
      </c>
      <c r="H429" s="581" t="s">
        <v>655</v>
      </c>
      <c r="I429" s="601">
        <v>1000</v>
      </c>
      <c r="J429" s="595" t="s">
        <v>36</v>
      </c>
      <c r="K429" s="91">
        <v>1</v>
      </c>
      <c r="L429" s="91">
        <v>3</v>
      </c>
      <c r="M429" s="92">
        <v>47</v>
      </c>
      <c r="N429" s="119" t="str">
        <f>VLOOKUP(M429,'PF Uscite Sp. Corr.'!$C$1:$E$100,2,FALSE)</f>
        <v>Utilizzo di beni di terzi</v>
      </c>
      <c r="O429" s="131">
        <v>1518</v>
      </c>
      <c r="P429" s="614" t="str">
        <f>VLOOKUP(O429,'Centri di Costo'!$A$2:$B$179,2,FALSE)</f>
        <v>Att. Ord. Cansiglio - Spese Generali</v>
      </c>
      <c r="Q429" s="623" t="s">
        <v>2014</v>
      </c>
      <c r="R429" s="642" t="s">
        <v>80</v>
      </c>
    </row>
    <row r="430" spans="1:18" ht="28.5" customHeight="1" outlineLevel="2">
      <c r="A430" s="85" t="s">
        <v>588</v>
      </c>
      <c r="B430" s="400" t="s">
        <v>1865</v>
      </c>
      <c r="C430" s="85" t="s">
        <v>599</v>
      </c>
      <c r="D430" s="148" t="s">
        <v>7</v>
      </c>
      <c r="E430" s="87">
        <v>2018</v>
      </c>
      <c r="F430" s="88">
        <v>116</v>
      </c>
      <c r="G430" s="120" t="s">
        <v>602</v>
      </c>
      <c r="H430" s="581" t="s">
        <v>611</v>
      </c>
      <c r="I430" s="601">
        <v>2000</v>
      </c>
      <c r="J430" s="595" t="s">
        <v>36</v>
      </c>
      <c r="K430" s="91">
        <v>1</v>
      </c>
      <c r="L430" s="91">
        <v>3</v>
      </c>
      <c r="M430" s="92">
        <v>49</v>
      </c>
      <c r="N430" s="119" t="str">
        <f>VLOOKUP(M430,'PF Uscite Sp. Corr.'!$C$1:$E$100,2,FALSE)</f>
        <v>Manutenzione ordinaria e riparazioni</v>
      </c>
      <c r="O430" s="131">
        <v>1511</v>
      </c>
      <c r="P430" s="614" t="str">
        <f>VLOOKUP(O430,'Centri di Costo'!$A$2:$B$179,2,FALSE)</f>
        <v>Att. Ord. Cansiglio - Utilizzazioni Forestali</v>
      </c>
      <c r="Q430" s="623" t="s">
        <v>1999</v>
      </c>
      <c r="R430" s="642" t="s">
        <v>612</v>
      </c>
    </row>
    <row r="431" spans="1:18" ht="28.5" customHeight="1" outlineLevel="2">
      <c r="A431" s="85" t="s">
        <v>588</v>
      </c>
      <c r="B431" s="400" t="s">
        <v>1865</v>
      </c>
      <c r="C431" s="85" t="s">
        <v>599</v>
      </c>
      <c r="D431" s="148" t="s">
        <v>7</v>
      </c>
      <c r="E431" s="87">
        <v>2018</v>
      </c>
      <c r="F431" s="88">
        <v>119</v>
      </c>
      <c r="G431" s="120" t="s">
        <v>626</v>
      </c>
      <c r="H431" s="581" t="s">
        <v>630</v>
      </c>
      <c r="I431" s="601">
        <v>6000</v>
      </c>
      <c r="J431" s="595" t="s">
        <v>36</v>
      </c>
      <c r="K431" s="91">
        <v>1</v>
      </c>
      <c r="L431" s="91">
        <v>3</v>
      </c>
      <c r="M431" s="92">
        <v>49</v>
      </c>
      <c r="N431" s="119" t="str">
        <f>VLOOKUP(M431,'PF Uscite Sp. Corr.'!$C$1:$E$100,2,FALSE)</f>
        <v>Manutenzione ordinaria e riparazioni</v>
      </c>
      <c r="O431" s="131">
        <v>1512</v>
      </c>
      <c r="P431" s="614" t="str">
        <f>VLOOKUP(O431,'Centri di Costo'!$A$2:$B$179,2,FALSE)</f>
        <v>Att. Ord. Cansiglio - Manutenz. Ambientali e viabilità</v>
      </c>
      <c r="Q431" s="623" t="s">
        <v>1999</v>
      </c>
      <c r="R431" s="642" t="s">
        <v>612</v>
      </c>
    </row>
    <row r="432" spans="1:18" ht="28.5" customHeight="1" outlineLevel="2">
      <c r="A432" s="85" t="s">
        <v>588</v>
      </c>
      <c r="B432" s="400" t="s">
        <v>1865</v>
      </c>
      <c r="C432" s="85" t="s">
        <v>599</v>
      </c>
      <c r="D432" s="148" t="s">
        <v>7</v>
      </c>
      <c r="E432" s="87">
        <v>2018</v>
      </c>
      <c r="F432" s="88">
        <v>117</v>
      </c>
      <c r="G432" s="120" t="s">
        <v>615</v>
      </c>
      <c r="H432" s="581" t="s">
        <v>621</v>
      </c>
      <c r="I432" s="601">
        <v>2000</v>
      </c>
      <c r="J432" s="595" t="s">
        <v>36</v>
      </c>
      <c r="K432" s="91">
        <v>1</v>
      </c>
      <c r="L432" s="91">
        <v>3</v>
      </c>
      <c r="M432" s="92">
        <v>49</v>
      </c>
      <c r="N432" s="119" t="str">
        <f>VLOOKUP(M432,'PF Uscite Sp. Corr.'!$C$1:$E$100,2,FALSE)</f>
        <v>Manutenzione ordinaria e riparazioni</v>
      </c>
      <c r="O432" s="131">
        <v>1514</v>
      </c>
      <c r="P432" s="614" t="str">
        <f>VLOOKUP(O432,'Centri di Costo'!$A$2:$B$179,2,FALSE)</f>
        <v>Att. Ord. Cansiglio - Falegnameria</v>
      </c>
      <c r="Q432" s="623" t="s">
        <v>1999</v>
      </c>
      <c r="R432" s="642" t="s">
        <v>93</v>
      </c>
    </row>
    <row r="433" spans="1:18" ht="28.5" customHeight="1" outlineLevel="2">
      <c r="A433" s="85" t="s">
        <v>588</v>
      </c>
      <c r="B433" s="400" t="s">
        <v>1865</v>
      </c>
      <c r="C433" s="85" t="s">
        <v>599</v>
      </c>
      <c r="D433" s="148" t="s">
        <v>7</v>
      </c>
      <c r="E433" s="87">
        <v>2018</v>
      </c>
      <c r="F433" s="88">
        <v>117</v>
      </c>
      <c r="G433" s="120" t="s">
        <v>615</v>
      </c>
      <c r="H433" s="581" t="s">
        <v>622</v>
      </c>
      <c r="I433" s="601">
        <v>2000</v>
      </c>
      <c r="J433" s="595" t="s">
        <v>36</v>
      </c>
      <c r="K433" s="91">
        <v>1</v>
      </c>
      <c r="L433" s="91">
        <v>3</v>
      </c>
      <c r="M433" s="92">
        <v>49</v>
      </c>
      <c r="N433" s="119" t="str">
        <f>VLOOKUP(M433,'PF Uscite Sp. Corr.'!$C$1:$E$100,2,FALSE)</f>
        <v>Manutenzione ordinaria e riparazioni</v>
      </c>
      <c r="O433" s="131">
        <v>1514</v>
      </c>
      <c r="P433" s="614" t="str">
        <f>VLOOKUP(O433,'Centri di Costo'!$A$2:$B$179,2,FALSE)</f>
        <v>Att. Ord. Cansiglio - Falegnameria</v>
      </c>
      <c r="Q433" s="623" t="s">
        <v>1999</v>
      </c>
      <c r="R433" s="642" t="s">
        <v>97</v>
      </c>
    </row>
    <row r="434" spans="1:18" ht="28.5" customHeight="1" outlineLevel="2">
      <c r="A434" s="85" t="s">
        <v>588</v>
      </c>
      <c r="B434" s="400" t="s">
        <v>1865</v>
      </c>
      <c r="C434" s="85" t="s">
        <v>599</v>
      </c>
      <c r="D434" s="148" t="s">
        <v>7</v>
      </c>
      <c r="E434" s="87">
        <v>2018</v>
      </c>
      <c r="F434" s="88">
        <v>130</v>
      </c>
      <c r="G434" s="120" t="s">
        <v>631</v>
      </c>
      <c r="H434" s="581" t="s">
        <v>621</v>
      </c>
      <c r="I434" s="601">
        <f>2500</f>
        <v>2500</v>
      </c>
      <c r="J434" s="595" t="s">
        <v>36</v>
      </c>
      <c r="K434" s="91">
        <v>1</v>
      </c>
      <c r="L434" s="91">
        <v>3</v>
      </c>
      <c r="M434" s="92">
        <v>49</v>
      </c>
      <c r="N434" s="119" t="str">
        <f>VLOOKUP(M434,'PF Uscite Sp. Corr.'!$C$1:$E$100,2,FALSE)</f>
        <v>Manutenzione ordinaria e riparazioni</v>
      </c>
      <c r="O434" s="131">
        <v>1515</v>
      </c>
      <c r="P434" s="614" t="str">
        <f>VLOOKUP(O434,'Centri di Costo'!$A$2:$B$179,2,FALSE)</f>
        <v>Att. Ord. Cansiglio - Area di Sosta</v>
      </c>
      <c r="Q434" s="623" t="s">
        <v>1999</v>
      </c>
      <c r="R434" s="642" t="s">
        <v>93</v>
      </c>
    </row>
    <row r="435" spans="1:18" ht="28.5" customHeight="1" outlineLevel="2">
      <c r="A435" s="85" t="s">
        <v>588</v>
      </c>
      <c r="B435" s="400" t="s">
        <v>1865</v>
      </c>
      <c r="C435" s="85" t="s">
        <v>599</v>
      </c>
      <c r="D435" s="148" t="s">
        <v>7</v>
      </c>
      <c r="E435" s="87">
        <v>2018</v>
      </c>
      <c r="F435" s="88">
        <v>125</v>
      </c>
      <c r="G435" s="120" t="s">
        <v>636</v>
      </c>
      <c r="H435" s="581" t="s">
        <v>639</v>
      </c>
      <c r="I435" s="601">
        <v>4000</v>
      </c>
      <c r="J435" s="595" t="s">
        <v>36</v>
      </c>
      <c r="K435" s="91">
        <v>1</v>
      </c>
      <c r="L435" s="91">
        <v>3</v>
      </c>
      <c r="M435" s="92">
        <v>49</v>
      </c>
      <c r="N435" s="119" t="str">
        <f>VLOOKUP(M435,'PF Uscite Sp. Corr.'!$C$1:$E$100,2,FALSE)</f>
        <v>Manutenzione ordinaria e riparazioni</v>
      </c>
      <c r="O435" s="131">
        <v>1518</v>
      </c>
      <c r="P435" s="614" t="str">
        <f>VLOOKUP(O435,'Centri di Costo'!$A$2:$B$179,2,FALSE)</f>
        <v>Att. Ord. Cansiglio - Spese Generali</v>
      </c>
      <c r="Q435" s="623" t="s">
        <v>1999</v>
      </c>
      <c r="R435" s="642" t="s">
        <v>111</v>
      </c>
    </row>
    <row r="436" spans="1:18" ht="28.5" customHeight="1" outlineLevel="2">
      <c r="A436" s="85" t="s">
        <v>588</v>
      </c>
      <c r="B436" s="400" t="s">
        <v>1865</v>
      </c>
      <c r="C436" s="85" t="s">
        <v>599</v>
      </c>
      <c r="D436" s="148" t="s">
        <v>7</v>
      </c>
      <c r="E436" s="87">
        <v>2018</v>
      </c>
      <c r="F436" s="88">
        <v>125</v>
      </c>
      <c r="G436" s="120" t="s">
        <v>636</v>
      </c>
      <c r="H436" s="581" t="s">
        <v>641</v>
      </c>
      <c r="I436" s="601">
        <v>4500</v>
      </c>
      <c r="J436" s="595" t="s">
        <v>36</v>
      </c>
      <c r="K436" s="91">
        <v>1</v>
      </c>
      <c r="L436" s="91">
        <v>3</v>
      </c>
      <c r="M436" s="92">
        <v>49</v>
      </c>
      <c r="N436" s="119" t="str">
        <f>VLOOKUP(M436,'PF Uscite Sp. Corr.'!$C$1:$E$100,2,FALSE)</f>
        <v>Manutenzione ordinaria e riparazioni</v>
      </c>
      <c r="O436" s="131">
        <v>1518</v>
      </c>
      <c r="P436" s="614" t="str">
        <f>VLOOKUP(O436,'Centri di Costo'!$A$2:$B$179,2,FALSE)</f>
        <v>Att. Ord. Cansiglio - Spese Generali</v>
      </c>
      <c r="Q436" s="623" t="s">
        <v>1999</v>
      </c>
      <c r="R436" s="642" t="s">
        <v>103</v>
      </c>
    </row>
    <row r="437" spans="1:18" ht="28.5" customHeight="1" outlineLevel="2">
      <c r="A437" s="85" t="s">
        <v>588</v>
      </c>
      <c r="B437" s="400" t="s">
        <v>1865</v>
      </c>
      <c r="C437" s="85" t="s">
        <v>599</v>
      </c>
      <c r="D437" s="148" t="s">
        <v>7</v>
      </c>
      <c r="E437" s="87">
        <v>2018</v>
      </c>
      <c r="F437" s="88">
        <v>125</v>
      </c>
      <c r="G437" s="120" t="s">
        <v>636</v>
      </c>
      <c r="H437" s="581" t="s">
        <v>642</v>
      </c>
      <c r="I437" s="601">
        <v>2000</v>
      </c>
      <c r="J437" s="595" t="s">
        <v>36</v>
      </c>
      <c r="K437" s="91">
        <v>1</v>
      </c>
      <c r="L437" s="91">
        <v>3</v>
      </c>
      <c r="M437" s="92">
        <v>49</v>
      </c>
      <c r="N437" s="119" t="str">
        <f>VLOOKUP(M437,'PF Uscite Sp. Corr.'!$C$1:$E$100,2,FALSE)</f>
        <v>Manutenzione ordinaria e riparazioni</v>
      </c>
      <c r="O437" s="131">
        <v>1518</v>
      </c>
      <c r="P437" s="614" t="str">
        <f>VLOOKUP(O437,'Centri di Costo'!$A$2:$B$179,2,FALSE)</f>
        <v>Att. Ord. Cansiglio - Spese Generali</v>
      </c>
      <c r="Q437" s="623" t="s">
        <v>1999</v>
      </c>
      <c r="R437" s="642" t="s">
        <v>99</v>
      </c>
    </row>
    <row r="438" spans="1:18" ht="28.5" customHeight="1" outlineLevel="2">
      <c r="A438" s="85" t="s">
        <v>588</v>
      </c>
      <c r="B438" s="400" t="s">
        <v>1865</v>
      </c>
      <c r="C438" s="85" t="s">
        <v>599</v>
      </c>
      <c r="D438" s="148" t="s">
        <v>7</v>
      </c>
      <c r="E438" s="87">
        <v>2018</v>
      </c>
      <c r="F438" s="88">
        <v>125</v>
      </c>
      <c r="G438" s="120" t="s">
        <v>636</v>
      </c>
      <c r="H438" s="581" t="s">
        <v>621</v>
      </c>
      <c r="I438" s="601">
        <v>3000</v>
      </c>
      <c r="J438" s="595" t="s">
        <v>36</v>
      </c>
      <c r="K438" s="91">
        <v>1</v>
      </c>
      <c r="L438" s="91">
        <v>3</v>
      </c>
      <c r="M438" s="92">
        <v>49</v>
      </c>
      <c r="N438" s="119" t="str">
        <f>VLOOKUP(M438,'PF Uscite Sp. Corr.'!$C$1:$E$100,2,FALSE)</f>
        <v>Manutenzione ordinaria e riparazioni</v>
      </c>
      <c r="O438" s="131">
        <v>1518</v>
      </c>
      <c r="P438" s="614" t="str">
        <f>VLOOKUP(O438,'Centri di Costo'!$A$2:$B$179,2,FALSE)</f>
        <v>Att. Ord. Cansiglio - Spese Generali</v>
      </c>
      <c r="Q438" s="623" t="s">
        <v>1999</v>
      </c>
      <c r="R438" s="642" t="s">
        <v>93</v>
      </c>
    </row>
    <row r="439" spans="1:18" ht="28.5" customHeight="1" outlineLevel="2">
      <c r="A439" s="85" t="s">
        <v>588</v>
      </c>
      <c r="B439" s="400" t="s">
        <v>1865</v>
      </c>
      <c r="C439" s="85" t="s">
        <v>599</v>
      </c>
      <c r="D439" s="148" t="s">
        <v>7</v>
      </c>
      <c r="E439" s="87">
        <v>2018</v>
      </c>
      <c r="F439" s="88">
        <v>125</v>
      </c>
      <c r="G439" s="120" t="s">
        <v>636</v>
      </c>
      <c r="H439" s="581" t="s">
        <v>468</v>
      </c>
      <c r="I439" s="601">
        <v>1500</v>
      </c>
      <c r="J439" s="595" t="s">
        <v>36</v>
      </c>
      <c r="K439" s="91">
        <v>1</v>
      </c>
      <c r="L439" s="91">
        <v>3</v>
      </c>
      <c r="M439" s="92">
        <v>49</v>
      </c>
      <c r="N439" s="119" t="str">
        <f>VLOOKUP(M439,'PF Uscite Sp. Corr.'!$C$1:$E$100,2,FALSE)</f>
        <v>Manutenzione ordinaria e riparazioni</v>
      </c>
      <c r="O439" s="131">
        <v>1518</v>
      </c>
      <c r="P439" s="614" t="str">
        <f>VLOOKUP(O439,'Centri di Costo'!$A$2:$B$179,2,FALSE)</f>
        <v>Att. Ord. Cansiglio - Spese Generali</v>
      </c>
      <c r="Q439" s="623" t="s">
        <v>1999</v>
      </c>
      <c r="R439" s="642" t="s">
        <v>412</v>
      </c>
    </row>
    <row r="440" spans="1:18" ht="28.5" customHeight="1" outlineLevel="2">
      <c r="A440" s="85" t="s">
        <v>588</v>
      </c>
      <c r="B440" s="400" t="s">
        <v>1865</v>
      </c>
      <c r="C440" s="85" t="s">
        <v>599</v>
      </c>
      <c r="D440" s="148" t="s">
        <v>7</v>
      </c>
      <c r="E440" s="87">
        <v>2018</v>
      </c>
      <c r="F440" s="88">
        <v>125</v>
      </c>
      <c r="G440" s="120" t="s">
        <v>636</v>
      </c>
      <c r="H440" s="581" t="s">
        <v>646</v>
      </c>
      <c r="I440" s="601">
        <v>2000</v>
      </c>
      <c r="J440" s="595" t="s">
        <v>36</v>
      </c>
      <c r="K440" s="91">
        <v>1</v>
      </c>
      <c r="L440" s="91">
        <v>3</v>
      </c>
      <c r="M440" s="92">
        <v>49</v>
      </c>
      <c r="N440" s="119" t="str">
        <f>VLOOKUP(M440,'PF Uscite Sp. Corr.'!$C$1:$E$100,2,FALSE)</f>
        <v>Manutenzione ordinaria e riparazioni</v>
      </c>
      <c r="O440" s="131">
        <v>1518</v>
      </c>
      <c r="P440" s="614" t="str">
        <f>VLOOKUP(O440,'Centri di Costo'!$A$2:$B$179,2,FALSE)</f>
        <v>Att. Ord. Cansiglio - Spese Generali</v>
      </c>
      <c r="Q440" s="623" t="s">
        <v>1999</v>
      </c>
      <c r="R440" s="642" t="s">
        <v>647</v>
      </c>
    </row>
    <row r="441" spans="1:18" ht="28.5" customHeight="1" outlineLevel="2">
      <c r="A441" s="85" t="s">
        <v>588</v>
      </c>
      <c r="B441" s="400" t="s">
        <v>1865</v>
      </c>
      <c r="C441" s="85" t="s">
        <v>599</v>
      </c>
      <c r="D441" s="148" t="s">
        <v>7</v>
      </c>
      <c r="E441" s="87">
        <v>2018</v>
      </c>
      <c r="F441" s="88">
        <v>125</v>
      </c>
      <c r="G441" s="120" t="s">
        <v>636</v>
      </c>
      <c r="H441" s="581" t="s">
        <v>648</v>
      </c>
      <c r="I441" s="601">
        <v>13000</v>
      </c>
      <c r="J441" s="595" t="s">
        <v>36</v>
      </c>
      <c r="K441" s="91">
        <v>1</v>
      </c>
      <c r="L441" s="91">
        <v>3</v>
      </c>
      <c r="M441" s="92">
        <v>49</v>
      </c>
      <c r="N441" s="119" t="str">
        <f>VLOOKUP(M441,'PF Uscite Sp. Corr.'!$C$1:$E$100,2,FALSE)</f>
        <v>Manutenzione ordinaria e riparazioni</v>
      </c>
      <c r="O441" s="131">
        <v>1518</v>
      </c>
      <c r="P441" s="614" t="str">
        <f>VLOOKUP(O441,'Centri di Costo'!$A$2:$B$179,2,FALSE)</f>
        <v>Att. Ord. Cansiglio - Spese Generali</v>
      </c>
      <c r="Q441" s="623" t="s">
        <v>1999</v>
      </c>
      <c r="R441" s="642" t="s">
        <v>409</v>
      </c>
    </row>
    <row r="442" spans="1:18" ht="28.5" customHeight="1" outlineLevel="2">
      <c r="A442" s="85" t="s">
        <v>588</v>
      </c>
      <c r="B442" s="400" t="s">
        <v>1865</v>
      </c>
      <c r="C442" s="85" t="s">
        <v>599</v>
      </c>
      <c r="D442" s="148" t="s">
        <v>7</v>
      </c>
      <c r="E442" s="87">
        <v>2018</v>
      </c>
      <c r="F442" s="88">
        <v>125</v>
      </c>
      <c r="G442" s="120" t="s">
        <v>636</v>
      </c>
      <c r="H442" s="581" t="s">
        <v>645</v>
      </c>
      <c r="I442" s="601">
        <v>3000</v>
      </c>
      <c r="J442" s="595" t="s">
        <v>36</v>
      </c>
      <c r="K442" s="91">
        <v>1</v>
      </c>
      <c r="L442" s="91">
        <v>3</v>
      </c>
      <c r="M442" s="92">
        <v>51</v>
      </c>
      <c r="N442" s="119" t="str">
        <f>VLOOKUP(M442,'PF Uscite Sp. Corr.'!$C$1:$E$100,2,FALSE)</f>
        <v>Prestazioni professionali e specialistiche</v>
      </c>
      <c r="O442" s="131">
        <v>1518</v>
      </c>
      <c r="P442" s="614" t="str">
        <f>VLOOKUP(O442,'Centri di Costo'!$A$2:$B$179,2,FALSE)</f>
        <v>Att. Ord. Cansiglio - Spese Generali</v>
      </c>
      <c r="Q442" s="619" t="s">
        <v>2029</v>
      </c>
      <c r="R442" s="642" t="s">
        <v>414</v>
      </c>
    </row>
    <row r="443" spans="1:18" ht="28.5" customHeight="1" outlineLevel="2">
      <c r="A443" s="85" t="s">
        <v>588</v>
      </c>
      <c r="B443" s="400" t="s">
        <v>1865</v>
      </c>
      <c r="C443" s="85" t="s">
        <v>599</v>
      </c>
      <c r="D443" s="148" t="s">
        <v>7</v>
      </c>
      <c r="E443" s="87">
        <v>2018</v>
      </c>
      <c r="F443" s="88">
        <v>116</v>
      </c>
      <c r="G443" s="120" t="s">
        <v>602</v>
      </c>
      <c r="H443" s="581" t="s">
        <v>613</v>
      </c>
      <c r="I443" s="601">
        <v>18000</v>
      </c>
      <c r="J443" s="595" t="s">
        <v>36</v>
      </c>
      <c r="K443" s="91">
        <v>1</v>
      </c>
      <c r="L443" s="91">
        <v>3</v>
      </c>
      <c r="M443" s="92">
        <v>53</v>
      </c>
      <c r="N443" s="119" t="str">
        <f>VLOOKUP(M443,'PF Uscite Sp. Corr.'!$C$1:$E$100,2,FALSE)</f>
        <v>Servizi ausiliari per il funzionamento dell'ente</v>
      </c>
      <c r="O443" s="131">
        <v>1511</v>
      </c>
      <c r="P443" s="614" t="str">
        <f>VLOOKUP(O443,'Centri di Costo'!$A$2:$B$179,2,FALSE)</f>
        <v>Att. Ord. Cansiglio - Utilizzazioni Forestali</v>
      </c>
      <c r="Q443" s="623" t="s">
        <v>1999</v>
      </c>
      <c r="R443" s="642" t="s">
        <v>614</v>
      </c>
    </row>
    <row r="444" spans="1:18" ht="28.5" customHeight="1" outlineLevel="2">
      <c r="A444" s="85" t="s">
        <v>588</v>
      </c>
      <c r="B444" s="400" t="s">
        <v>1865</v>
      </c>
      <c r="C444" s="85" t="s">
        <v>599</v>
      </c>
      <c r="D444" s="148" t="s">
        <v>7</v>
      </c>
      <c r="E444" s="87">
        <v>2018</v>
      </c>
      <c r="F444" s="88">
        <v>130</v>
      </c>
      <c r="G444" s="120" t="s">
        <v>631</v>
      </c>
      <c r="H444" s="581" t="s">
        <v>632</v>
      </c>
      <c r="I444" s="601">
        <v>2000</v>
      </c>
      <c r="J444" s="595" t="s">
        <v>36</v>
      </c>
      <c r="K444" s="91">
        <v>1</v>
      </c>
      <c r="L444" s="91">
        <v>3</v>
      </c>
      <c r="M444" s="92">
        <v>53</v>
      </c>
      <c r="N444" s="119" t="str">
        <f>VLOOKUP(M444,'PF Uscite Sp. Corr.'!$C$1:$E$100,2,FALSE)</f>
        <v>Servizi ausiliari per il funzionamento dell'ente</v>
      </c>
      <c r="O444" s="131">
        <v>1515</v>
      </c>
      <c r="P444" s="614" t="str">
        <f>VLOOKUP(O444,'Centri di Costo'!$A$2:$B$179,2,FALSE)</f>
        <v>Att. Ord. Cansiglio - Area di Sosta</v>
      </c>
      <c r="Q444" s="623" t="s">
        <v>1999</v>
      </c>
      <c r="R444" s="642" t="s">
        <v>633</v>
      </c>
    </row>
    <row r="445" spans="1:18" ht="28.5" customHeight="1" outlineLevel="2">
      <c r="A445" s="85" t="s">
        <v>588</v>
      </c>
      <c r="B445" s="400" t="s">
        <v>1865</v>
      </c>
      <c r="C445" s="85" t="s">
        <v>599</v>
      </c>
      <c r="D445" s="148" t="s">
        <v>7</v>
      </c>
      <c r="E445" s="87">
        <v>2018</v>
      </c>
      <c r="F445" s="88">
        <v>125</v>
      </c>
      <c r="G445" s="120" t="s">
        <v>636</v>
      </c>
      <c r="H445" s="581" t="s">
        <v>659</v>
      </c>
      <c r="I445" s="601">
        <v>6000</v>
      </c>
      <c r="J445" s="595" t="s">
        <v>36</v>
      </c>
      <c r="K445" s="91">
        <v>1</v>
      </c>
      <c r="L445" s="91">
        <v>3</v>
      </c>
      <c r="M445" s="92">
        <v>53</v>
      </c>
      <c r="N445" s="119" t="str">
        <f>VLOOKUP(M445,'PF Uscite Sp. Corr.'!$C$1:$E$100,2,FALSE)</f>
        <v>Servizi ausiliari per il funzionamento dell'ente</v>
      </c>
      <c r="O445" s="131">
        <v>1518</v>
      </c>
      <c r="P445" s="614" t="str">
        <f>VLOOKUP(O445,'Centri di Costo'!$A$2:$B$179,2,FALSE)</f>
        <v>Att. Ord. Cansiglio - Spese Generali</v>
      </c>
      <c r="Q445" s="623" t="s">
        <v>1999</v>
      </c>
      <c r="R445" s="642" t="s">
        <v>633</v>
      </c>
    </row>
    <row r="446" spans="1:18" ht="28.5" customHeight="1" outlineLevel="2">
      <c r="A446" s="85" t="s">
        <v>588</v>
      </c>
      <c r="B446" s="400" t="s">
        <v>1865</v>
      </c>
      <c r="C446" s="85" t="s">
        <v>599</v>
      </c>
      <c r="D446" s="148" t="s">
        <v>7</v>
      </c>
      <c r="E446" s="87">
        <v>2018</v>
      </c>
      <c r="F446" s="88">
        <v>125</v>
      </c>
      <c r="G446" s="120" t="s">
        <v>636</v>
      </c>
      <c r="H446" s="581" t="s">
        <v>1569</v>
      </c>
      <c r="I446" s="601">
        <v>1500</v>
      </c>
      <c r="J446" s="595" t="s">
        <v>36</v>
      </c>
      <c r="K446" s="91">
        <v>1</v>
      </c>
      <c r="L446" s="91">
        <v>3</v>
      </c>
      <c r="M446" s="92">
        <v>53</v>
      </c>
      <c r="N446" s="119" t="str">
        <f>VLOOKUP(M446,'PF Uscite Sp. Corr.'!$C$1:$E$100,2,FALSE)</f>
        <v>Servizi ausiliari per il funzionamento dell'ente</v>
      </c>
      <c r="O446" s="131">
        <v>1518</v>
      </c>
      <c r="P446" s="614" t="str">
        <f>VLOOKUP(O446,'Centri di Costo'!$A$2:$B$179,2,FALSE)</f>
        <v>Att. Ord. Cansiglio - Spese Generali</v>
      </c>
      <c r="Q446" s="623" t="s">
        <v>1999</v>
      </c>
      <c r="R446" s="642" t="s">
        <v>83</v>
      </c>
    </row>
    <row r="447" spans="1:18" ht="28.5" customHeight="1" outlineLevel="2">
      <c r="A447" s="85" t="s">
        <v>588</v>
      </c>
      <c r="B447" s="400" t="s">
        <v>1865</v>
      </c>
      <c r="C447" s="85" t="s">
        <v>599</v>
      </c>
      <c r="D447" s="148" t="s">
        <v>7</v>
      </c>
      <c r="E447" s="87">
        <v>2018</v>
      </c>
      <c r="F447" s="88">
        <v>130</v>
      </c>
      <c r="G447" s="120" t="s">
        <v>631</v>
      </c>
      <c r="H447" s="581" t="s">
        <v>634</v>
      </c>
      <c r="I447" s="601">
        <v>500</v>
      </c>
      <c r="J447" s="595" t="s">
        <v>36</v>
      </c>
      <c r="K447" s="91">
        <v>1</v>
      </c>
      <c r="L447" s="91">
        <v>3</v>
      </c>
      <c r="M447" s="92">
        <v>57</v>
      </c>
      <c r="N447" s="119" t="str">
        <f>VLOOKUP(M447,'PF Uscite Sp. Corr.'!$C$1:$E$100,2,FALSE)</f>
        <v>Servizi finanziari</v>
      </c>
      <c r="O447" s="131">
        <v>1515</v>
      </c>
      <c r="P447" s="614" t="str">
        <f>VLOOKUP(O447,'Centri di Costo'!$A$2:$B$179,2,FALSE)</f>
        <v>Att. Ord. Cansiglio - Area di Sosta</v>
      </c>
      <c r="Q447" s="623" t="s">
        <v>1999</v>
      </c>
      <c r="R447" s="642" t="s">
        <v>79</v>
      </c>
    </row>
    <row r="448" spans="1:18" ht="28.5" customHeight="1" outlineLevel="2">
      <c r="A448" s="85" t="s">
        <v>588</v>
      </c>
      <c r="B448" s="400" t="s">
        <v>1865</v>
      </c>
      <c r="C448" s="85" t="s">
        <v>599</v>
      </c>
      <c r="D448" s="148" t="s">
        <v>7</v>
      </c>
      <c r="E448" s="87">
        <v>2018</v>
      </c>
      <c r="F448" s="88">
        <v>125</v>
      </c>
      <c r="G448" s="120" t="s">
        <v>636</v>
      </c>
      <c r="H448" s="581" t="s">
        <v>658</v>
      </c>
      <c r="I448" s="601">
        <v>1000</v>
      </c>
      <c r="J448" s="595" t="s">
        <v>36</v>
      </c>
      <c r="K448" s="91">
        <v>1</v>
      </c>
      <c r="L448" s="91">
        <v>3</v>
      </c>
      <c r="M448" s="92">
        <v>56</v>
      </c>
      <c r="N448" s="119" t="str">
        <f>VLOOKUP(M448,'PF Uscite Sp. Corr.'!$C$1:$E$100,2,FALSE)</f>
        <v>Servizi amministrativi</v>
      </c>
      <c r="O448" s="131">
        <v>1518</v>
      </c>
      <c r="P448" s="614" t="str">
        <f>VLOOKUP(O448,'Centri di Costo'!$A$2:$B$179,2,FALSE)</f>
        <v>Att. Ord. Cansiglio - Spese Generali</v>
      </c>
      <c r="Q448" s="623" t="s">
        <v>1999</v>
      </c>
      <c r="R448" s="642" t="s">
        <v>79</v>
      </c>
    </row>
    <row r="449" spans="1:18" ht="28.5" customHeight="1" outlineLevel="2">
      <c r="A449" s="85" t="s">
        <v>588</v>
      </c>
      <c r="B449" s="400" t="s">
        <v>1865</v>
      </c>
      <c r="C449" s="85" t="s">
        <v>599</v>
      </c>
      <c r="D449" s="148" t="s">
        <v>7</v>
      </c>
      <c r="E449" s="87">
        <v>2018</v>
      </c>
      <c r="F449" s="88">
        <v>125</v>
      </c>
      <c r="G449" s="120" t="s">
        <v>636</v>
      </c>
      <c r="H449" s="581" t="s">
        <v>172</v>
      </c>
      <c r="I449" s="601">
        <v>600</v>
      </c>
      <c r="J449" s="595" t="s">
        <v>36</v>
      </c>
      <c r="K449" s="91">
        <v>1</v>
      </c>
      <c r="L449" s="91">
        <v>3</v>
      </c>
      <c r="M449" s="92">
        <v>56</v>
      </c>
      <c r="N449" s="119" t="str">
        <f>VLOOKUP(M449,'PF Uscite Sp. Corr.'!$C$1:$E$100,2,FALSE)</f>
        <v>Servizi amministrativi</v>
      </c>
      <c r="O449" s="131">
        <v>1518</v>
      </c>
      <c r="P449" s="614" t="str">
        <f>VLOOKUP(O449,'Centri di Costo'!$A$2:$B$179,2,FALSE)</f>
        <v>Att. Ord. Cansiglio - Spese Generali</v>
      </c>
      <c r="Q449" s="623" t="s">
        <v>1999</v>
      </c>
      <c r="R449" s="642" t="s">
        <v>173</v>
      </c>
    </row>
    <row r="450" spans="1:18" ht="28.5" customHeight="1" outlineLevel="2">
      <c r="A450" s="85" t="s">
        <v>89</v>
      </c>
      <c r="B450" s="400" t="s">
        <v>1865</v>
      </c>
      <c r="C450" s="85" t="s">
        <v>150</v>
      </c>
      <c r="D450" s="148" t="s">
        <v>7</v>
      </c>
      <c r="E450" s="87">
        <v>2018</v>
      </c>
      <c r="F450" s="88">
        <v>133</v>
      </c>
      <c r="G450" s="120" t="s">
        <v>200</v>
      </c>
      <c r="H450" s="581" t="s">
        <v>201</v>
      </c>
      <c r="I450" s="601">
        <v>1000</v>
      </c>
      <c r="J450" s="595" t="s">
        <v>36</v>
      </c>
      <c r="K450" s="91">
        <v>1</v>
      </c>
      <c r="L450" s="91">
        <v>3</v>
      </c>
      <c r="M450" s="92">
        <v>59</v>
      </c>
      <c r="N450" s="119" t="str">
        <f>VLOOKUP(M450,'PF Uscite Sp. Corr.'!$C$1:$E$100,2,FALSE)</f>
        <v>Servizi informatici e di telecomunicazioni</v>
      </c>
      <c r="O450" s="131">
        <v>1518</v>
      </c>
      <c r="P450" s="614" t="str">
        <f>VLOOKUP(O450,'Centri di Costo'!$A$2:$B$179,2,FALSE)</f>
        <v>Att. Ord. Cansiglio - Spese Generali</v>
      </c>
      <c r="Q450" s="624" t="s">
        <v>2014</v>
      </c>
      <c r="R450" s="642" t="s">
        <v>202</v>
      </c>
    </row>
    <row r="451" spans="1:18" ht="28.5" customHeight="1" outlineLevel="2">
      <c r="A451" s="85" t="s">
        <v>588</v>
      </c>
      <c r="B451" s="400" t="s">
        <v>1865</v>
      </c>
      <c r="C451" s="85" t="s">
        <v>599</v>
      </c>
      <c r="D451" s="148" t="s">
        <v>7</v>
      </c>
      <c r="E451" s="87">
        <v>2018</v>
      </c>
      <c r="F451" s="88">
        <v>116</v>
      </c>
      <c r="G451" s="120" t="s">
        <v>602</v>
      </c>
      <c r="H451" s="581" t="s">
        <v>603</v>
      </c>
      <c r="I451" s="601">
        <v>25000</v>
      </c>
      <c r="J451" s="595" t="s">
        <v>36</v>
      </c>
      <c r="K451" s="91">
        <v>1</v>
      </c>
      <c r="L451" s="91">
        <v>10</v>
      </c>
      <c r="M451" s="92">
        <v>85</v>
      </c>
      <c r="N451" s="119" t="str">
        <f>VLOOKUP(M451,'PF Uscite Sp. Corr.'!$C$1:$E$100,2,FALSE)</f>
        <v>F.do Utilizzazioni Boschive LRV 52/1978 (solo Miss 9.5)</v>
      </c>
      <c r="O451" s="131">
        <v>1511</v>
      </c>
      <c r="P451" s="614" t="str">
        <f>VLOOKUP(O451,'Centri di Costo'!$A$2:$B$179,2,FALSE)</f>
        <v>Att. Ord. Cansiglio - Utilizzazioni Forestali</v>
      </c>
      <c r="Q451" s="623" t="s">
        <v>1999</v>
      </c>
      <c r="R451" s="642" t="s">
        <v>604</v>
      </c>
    </row>
    <row r="452" spans="1:18" ht="28.5" customHeight="1" outlineLevel="2">
      <c r="A452" s="85" t="s">
        <v>588</v>
      </c>
      <c r="B452" s="400" t="s">
        <v>1865</v>
      </c>
      <c r="C452" s="85" t="s">
        <v>599</v>
      </c>
      <c r="D452" s="148" t="s">
        <v>7</v>
      </c>
      <c r="E452" s="87">
        <v>2018</v>
      </c>
      <c r="F452" s="88">
        <v>118</v>
      </c>
      <c r="G452" s="120" t="s">
        <v>624</v>
      </c>
      <c r="H452" s="581" t="s">
        <v>625</v>
      </c>
      <c r="I452" s="601">
        <v>5000</v>
      </c>
      <c r="J452" s="595" t="s">
        <v>36</v>
      </c>
      <c r="K452" s="91">
        <v>1</v>
      </c>
      <c r="L452" s="91">
        <v>10</v>
      </c>
      <c r="M452" s="92">
        <v>85</v>
      </c>
      <c r="N452" s="119" t="str">
        <f>VLOOKUP(M452,'PF Uscite Sp. Corr.'!$C$1:$E$100,2,FALSE)</f>
        <v>F.do Utilizzazioni Boschive LRV 52/1978 (solo Miss 9.5)</v>
      </c>
      <c r="O452" s="131">
        <v>1513</v>
      </c>
      <c r="P452" s="614" t="str">
        <f>VLOOKUP(O452,'Centri di Costo'!$A$2:$B$179,2,FALSE)</f>
        <v>Att. Ord. Cansiglio - Gest. Fabbr. e suolo demaniale in concessione</v>
      </c>
      <c r="Q452" s="623" t="s">
        <v>1999</v>
      </c>
      <c r="R452" s="642" t="s">
        <v>604</v>
      </c>
    </row>
    <row r="453" spans="1:18" ht="28.5" customHeight="1" outlineLevel="2">
      <c r="A453" s="85" t="s">
        <v>588</v>
      </c>
      <c r="B453" s="400" t="s">
        <v>1865</v>
      </c>
      <c r="C453" s="85" t="s">
        <v>599</v>
      </c>
      <c r="D453" s="148" t="s">
        <v>7</v>
      </c>
      <c r="E453" s="87">
        <v>2018</v>
      </c>
      <c r="F453" s="88">
        <v>125</v>
      </c>
      <c r="G453" s="120" t="s">
        <v>636</v>
      </c>
      <c r="H453" s="581" t="s">
        <v>656</v>
      </c>
      <c r="I453" s="601">
        <v>7600</v>
      </c>
      <c r="J453" s="595" t="s">
        <v>36</v>
      </c>
      <c r="K453" s="91">
        <v>1</v>
      </c>
      <c r="L453" s="91">
        <v>10</v>
      </c>
      <c r="M453" s="92">
        <v>86</v>
      </c>
      <c r="N453" s="119" t="str">
        <f>VLOOKUP(M453,'PF Uscite Sp. Corr.'!$C$1:$E$100,2,FALSE)</f>
        <v>Premi di assicurazione contro i danni</v>
      </c>
      <c r="O453" s="131">
        <v>1518</v>
      </c>
      <c r="P453" s="614" t="str">
        <f>VLOOKUP(O453,'Centri di Costo'!$A$2:$B$179,2,FALSE)</f>
        <v>Att. Ord. Cansiglio - Spese Generali</v>
      </c>
      <c r="Q453" s="624" t="s">
        <v>2014</v>
      </c>
      <c r="R453" s="642" t="s">
        <v>59</v>
      </c>
    </row>
    <row r="454" spans="1:18" s="139" customFormat="1" ht="28.5" customHeight="1" outlineLevel="2">
      <c r="A454" s="115" t="s">
        <v>588</v>
      </c>
      <c r="B454" s="401" t="s">
        <v>1865</v>
      </c>
      <c r="C454" s="115" t="s">
        <v>599</v>
      </c>
      <c r="D454" s="417" t="s">
        <v>7</v>
      </c>
      <c r="E454" s="412">
        <v>2018</v>
      </c>
      <c r="F454" s="413">
        <v>125</v>
      </c>
      <c r="G454" s="123" t="s">
        <v>636</v>
      </c>
      <c r="H454" s="583" t="s">
        <v>657</v>
      </c>
      <c r="I454" s="603">
        <v>7400</v>
      </c>
      <c r="J454" s="596" t="s">
        <v>36</v>
      </c>
      <c r="K454" s="216">
        <v>1</v>
      </c>
      <c r="L454" s="216">
        <v>10</v>
      </c>
      <c r="M454" s="418">
        <v>86</v>
      </c>
      <c r="N454" s="118" t="str">
        <f>VLOOKUP(M454,'PF Uscite Sp. Corr.'!$C$1:$E$100,2,FALSE)</f>
        <v>Premi di assicurazione contro i danni</v>
      </c>
      <c r="O454" s="419">
        <v>1518</v>
      </c>
      <c r="P454" s="615" t="str">
        <f>VLOOKUP(O454,'Centri di Costo'!$A$2:$B$179,2,FALSE)</f>
        <v>Att. Ord. Cansiglio - Spese Generali</v>
      </c>
      <c r="Q454" s="624" t="s">
        <v>2014</v>
      </c>
      <c r="R454" s="648" t="s">
        <v>56</v>
      </c>
    </row>
    <row r="455" spans="1:18" s="215" customFormat="1" ht="20.25" customHeight="1" outlineLevel="1" collapsed="1">
      <c r="A455" s="160"/>
      <c r="B455" s="433" t="s">
        <v>1900</v>
      </c>
      <c r="C455" s="161"/>
      <c r="D455" s="437"/>
      <c r="E455" s="438"/>
      <c r="F455" s="438"/>
      <c r="G455" s="441" t="s">
        <v>1938</v>
      </c>
      <c r="H455" s="214" t="s">
        <v>1946</v>
      </c>
      <c r="I455" s="605">
        <f>SUBTOTAL(9,I386:I454)</f>
        <v>360200</v>
      </c>
      <c r="J455" s="212"/>
      <c r="K455" s="179"/>
      <c r="L455" s="179"/>
      <c r="M455" s="213"/>
      <c r="N455" s="434"/>
      <c r="O455" s="439"/>
      <c r="P455" s="435"/>
      <c r="Q455" s="620"/>
      <c r="R455" s="645"/>
    </row>
    <row r="456" spans="1:18" ht="28.5" customHeight="1" outlineLevel="2">
      <c r="A456" s="94" t="s">
        <v>588</v>
      </c>
      <c r="B456" s="402" t="s">
        <v>1866</v>
      </c>
      <c r="C456" s="94" t="s">
        <v>599</v>
      </c>
      <c r="D456" s="149" t="s">
        <v>7</v>
      </c>
      <c r="E456" s="101">
        <v>2018</v>
      </c>
      <c r="F456" s="102">
        <v>157</v>
      </c>
      <c r="G456" s="121" t="s">
        <v>660</v>
      </c>
      <c r="H456" s="580" t="s">
        <v>1100</v>
      </c>
      <c r="I456" s="600">
        <v>35370</v>
      </c>
      <c r="J456" s="594" t="s">
        <v>36</v>
      </c>
      <c r="K456" s="99">
        <v>1</v>
      </c>
      <c r="L456" s="99">
        <v>1</v>
      </c>
      <c r="M456" s="517" t="s">
        <v>1530</v>
      </c>
      <c r="N456" s="577" t="str">
        <f>VLOOKUP(M456,'PF Uscite Sp. Corr.'!$C$1:$E$100,2,FALSE)</f>
        <v>Salari, Oneri Sociali, Acc. TFR, Buoni Pasto (e IRAP su retribuz. se dovuta) OTD</v>
      </c>
      <c r="O456" s="132">
        <v>1528</v>
      </c>
      <c r="P456" s="613" t="str">
        <f>VLOOKUP(O456,'Centri di Costo'!$A$2:$B$179,2,FALSE)</f>
        <v>Att. Ord. Verona - Spese Generali</v>
      </c>
      <c r="Q456" s="621" t="s">
        <v>1998</v>
      </c>
      <c r="R456" s="639" t="s">
        <v>484</v>
      </c>
    </row>
    <row r="457" spans="1:18" ht="28.5" customHeight="1" outlineLevel="2">
      <c r="A457" s="85" t="s">
        <v>588</v>
      </c>
      <c r="B457" s="402" t="s">
        <v>1866</v>
      </c>
      <c r="C457" s="85" t="s">
        <v>599</v>
      </c>
      <c r="D457" s="148" t="s">
        <v>7</v>
      </c>
      <c r="E457" s="87">
        <v>2018</v>
      </c>
      <c r="F457" s="88">
        <v>158</v>
      </c>
      <c r="G457" s="120" t="s">
        <v>664</v>
      </c>
      <c r="H457" s="581" t="s">
        <v>1100</v>
      </c>
      <c r="I457" s="601">
        <v>228688</v>
      </c>
      <c r="J457" s="595" t="s">
        <v>36</v>
      </c>
      <c r="K457" s="91">
        <v>1</v>
      </c>
      <c r="L457" s="91">
        <v>1</v>
      </c>
      <c r="M457" s="232" t="s">
        <v>1530</v>
      </c>
      <c r="N457" s="578" t="str">
        <f>VLOOKUP(M457,'PF Uscite Sp. Corr.'!$C$1:$E$100,2,FALSE)</f>
        <v>Salari, Oneri Sociali, Acc. TFR, Buoni Pasto (e IRAP su retribuz. se dovuta) OTD</v>
      </c>
      <c r="O457" s="131">
        <v>1528</v>
      </c>
      <c r="P457" s="614" t="str">
        <f>VLOOKUP(O457,'Centri di Costo'!$A$2:$B$179,2,FALSE)</f>
        <v>Att. Ord. Verona - Spese Generali</v>
      </c>
      <c r="Q457" s="621" t="s">
        <v>1998</v>
      </c>
      <c r="R457" s="642" t="s">
        <v>484</v>
      </c>
    </row>
    <row r="458" spans="1:18" ht="28.5" customHeight="1" outlineLevel="2">
      <c r="A458" s="85" t="s">
        <v>588</v>
      </c>
      <c r="B458" s="402" t="s">
        <v>1866</v>
      </c>
      <c r="C458" s="85" t="s">
        <v>599</v>
      </c>
      <c r="D458" s="148" t="s">
        <v>7</v>
      </c>
      <c r="E458" s="87">
        <v>2018</v>
      </c>
      <c r="F458" s="88">
        <v>209</v>
      </c>
      <c r="G458" s="120" t="s">
        <v>672</v>
      </c>
      <c r="H458" s="581" t="s">
        <v>695</v>
      </c>
      <c r="I458" s="601">
        <v>600</v>
      </c>
      <c r="J458" s="595" t="s">
        <v>36</v>
      </c>
      <c r="K458" s="91">
        <v>1</v>
      </c>
      <c r="L458" s="91">
        <v>2</v>
      </c>
      <c r="M458" s="92">
        <v>12</v>
      </c>
      <c r="N458" s="119" t="str">
        <f>VLOOKUP(M458,'PF Uscite Sp. Corr.'!$C$1:$E$100,2,FALSE)</f>
        <v>Imposta di registro e di bollo</v>
      </c>
      <c r="O458" s="131">
        <v>1528</v>
      </c>
      <c r="P458" s="614" t="str">
        <f>VLOOKUP(O458,'Centri di Costo'!$A$2:$B$179,2,FALSE)</f>
        <v>Att. Ord. Verona - Spese Generali</v>
      </c>
      <c r="Q458" s="622" t="s">
        <v>1844</v>
      </c>
      <c r="R458" s="642" t="s">
        <v>47</v>
      </c>
    </row>
    <row r="459" spans="1:18" ht="28.5" customHeight="1" outlineLevel="2">
      <c r="A459" s="85" t="s">
        <v>588</v>
      </c>
      <c r="B459" s="402" t="s">
        <v>1866</v>
      </c>
      <c r="C459" s="85" t="s">
        <v>599</v>
      </c>
      <c r="D459" s="148" t="s">
        <v>7</v>
      </c>
      <c r="E459" s="87">
        <v>2018</v>
      </c>
      <c r="F459" s="88">
        <v>209</v>
      </c>
      <c r="G459" s="120" t="s">
        <v>672</v>
      </c>
      <c r="H459" s="581" t="s">
        <v>476</v>
      </c>
      <c r="I459" s="601">
        <v>1100</v>
      </c>
      <c r="J459" s="595" t="s">
        <v>36</v>
      </c>
      <c r="K459" s="91">
        <v>1</v>
      </c>
      <c r="L459" s="91">
        <v>2</v>
      </c>
      <c r="M459" s="92">
        <v>16</v>
      </c>
      <c r="N459" s="119" t="str">
        <f>VLOOKUP(M459,'PF Uscite Sp. Corr.'!$C$1:$E$100,2,FALSE)</f>
        <v>Tassa e/o tariffa smaltimento rifiuti solidi urbani</v>
      </c>
      <c r="O459" s="131">
        <v>1528</v>
      </c>
      <c r="P459" s="614" t="str">
        <f>VLOOKUP(O459,'Centri di Costo'!$A$2:$B$179,2,FALSE)</f>
        <v>Att. Ord. Verona - Spese Generali</v>
      </c>
      <c r="Q459" s="622" t="s">
        <v>1844</v>
      </c>
      <c r="R459" s="642" t="s">
        <v>71</v>
      </c>
    </row>
    <row r="460" spans="1:18" ht="28.5" customHeight="1" outlineLevel="2">
      <c r="A460" s="85" t="s">
        <v>588</v>
      </c>
      <c r="B460" s="402" t="s">
        <v>1866</v>
      </c>
      <c r="C460" s="85" t="s">
        <v>599</v>
      </c>
      <c r="D460" s="148" t="s">
        <v>7</v>
      </c>
      <c r="E460" s="87">
        <v>2018</v>
      </c>
      <c r="F460" s="88">
        <v>209</v>
      </c>
      <c r="G460" s="120" t="s">
        <v>672</v>
      </c>
      <c r="H460" s="581" t="s">
        <v>685</v>
      </c>
      <c r="I460" s="601">
        <v>150</v>
      </c>
      <c r="J460" s="595" t="s">
        <v>36</v>
      </c>
      <c r="K460" s="91">
        <v>1</v>
      </c>
      <c r="L460" s="91">
        <v>2</v>
      </c>
      <c r="M460" s="92">
        <v>17</v>
      </c>
      <c r="N460" s="119" t="str">
        <f>VLOOKUP(M460,'PF Uscite Sp. Corr.'!$C$1:$E$100,2,FALSE)</f>
        <v>Tassa e/o canone occupazione spazi e aree pubbliche</v>
      </c>
      <c r="O460" s="131">
        <v>1528</v>
      </c>
      <c r="P460" s="614" t="str">
        <f>VLOOKUP(O460,'Centri di Costo'!$A$2:$B$179,2,FALSE)</f>
        <v>Att. Ord. Verona - Spese Generali</v>
      </c>
      <c r="Q460" s="622" t="s">
        <v>1844</v>
      </c>
      <c r="R460" s="642" t="s">
        <v>686</v>
      </c>
    </row>
    <row r="461" spans="1:18" ht="28.5" customHeight="1" outlineLevel="2">
      <c r="A461" s="85" t="s">
        <v>588</v>
      </c>
      <c r="B461" s="402" t="s">
        <v>1866</v>
      </c>
      <c r="C461" s="85" t="s">
        <v>599</v>
      </c>
      <c r="D461" s="148" t="s">
        <v>7</v>
      </c>
      <c r="E461" s="87">
        <v>2018</v>
      </c>
      <c r="F461" s="88">
        <v>209</v>
      </c>
      <c r="G461" s="120" t="s">
        <v>672</v>
      </c>
      <c r="H461" s="581" t="s">
        <v>684</v>
      </c>
      <c r="I461" s="601">
        <v>1300</v>
      </c>
      <c r="J461" s="595" t="s">
        <v>36</v>
      </c>
      <c r="K461" s="91">
        <v>1</v>
      </c>
      <c r="L461" s="91">
        <v>2</v>
      </c>
      <c r="M461" s="92">
        <v>19</v>
      </c>
      <c r="N461" s="119" t="str">
        <f>VLOOKUP(M461,'PF Uscite Sp. Corr.'!$C$1:$E$100,2,FALSE)</f>
        <v>Tassa di circolazione dei veicoli a motore (tassa automobilistica)</v>
      </c>
      <c r="O461" s="131">
        <v>1528</v>
      </c>
      <c r="P461" s="614" t="str">
        <f>VLOOKUP(O461,'Centri di Costo'!$A$2:$B$179,2,FALSE)</f>
        <v>Att. Ord. Verona - Spese Generali</v>
      </c>
      <c r="Q461" s="622" t="s">
        <v>1844</v>
      </c>
      <c r="R461" s="642" t="s">
        <v>132</v>
      </c>
    </row>
    <row r="462" spans="1:18" ht="28.5" customHeight="1" outlineLevel="2">
      <c r="A462" s="85" t="s">
        <v>588</v>
      </c>
      <c r="B462" s="402" t="s">
        <v>1866</v>
      </c>
      <c r="C462" s="85" t="s">
        <v>599</v>
      </c>
      <c r="D462" s="148" t="s">
        <v>7</v>
      </c>
      <c r="E462" s="87">
        <v>2018</v>
      </c>
      <c r="F462" s="88">
        <v>157</v>
      </c>
      <c r="G462" s="120" t="s">
        <v>660</v>
      </c>
      <c r="H462" s="581" t="s">
        <v>662</v>
      </c>
      <c r="I462" s="601">
        <v>500</v>
      </c>
      <c r="J462" s="595" t="s">
        <v>36</v>
      </c>
      <c r="K462" s="91">
        <v>1</v>
      </c>
      <c r="L462" s="91">
        <v>3</v>
      </c>
      <c r="M462" s="92">
        <v>32</v>
      </c>
      <c r="N462" s="119" t="str">
        <f>VLOOKUP(M462,'PF Uscite Sp. Corr.'!$C$1:$E$100,2,FALSE)</f>
        <v>Altri beni di consumo</v>
      </c>
      <c r="O462" s="131">
        <v>1521</v>
      </c>
      <c r="P462" s="614" t="str">
        <f>VLOOKUP(O462,'Centri di Costo'!$A$2:$B$179,2,FALSE)</f>
        <v>Att. Ord. Verona - Att. Selvicolturali sul demanio</v>
      </c>
      <c r="Q462" s="623" t="s">
        <v>1999</v>
      </c>
      <c r="R462" s="642" t="s">
        <v>426</v>
      </c>
    </row>
    <row r="463" spans="1:18" ht="28.5" customHeight="1" outlineLevel="2">
      <c r="A463" s="85" t="s">
        <v>588</v>
      </c>
      <c r="B463" s="402" t="s">
        <v>1866</v>
      </c>
      <c r="C463" s="85" t="s">
        <v>599</v>
      </c>
      <c r="D463" s="148" t="s">
        <v>7</v>
      </c>
      <c r="E463" s="87">
        <v>2018</v>
      </c>
      <c r="F463" s="88">
        <v>157</v>
      </c>
      <c r="G463" s="120" t="s">
        <v>660</v>
      </c>
      <c r="H463" s="581" t="s">
        <v>663</v>
      </c>
      <c r="I463" s="601">
        <v>500</v>
      </c>
      <c r="J463" s="595" t="s">
        <v>36</v>
      </c>
      <c r="K463" s="91">
        <v>1</v>
      </c>
      <c r="L463" s="91">
        <v>3</v>
      </c>
      <c r="M463" s="92">
        <v>32</v>
      </c>
      <c r="N463" s="119" t="str">
        <f>VLOOKUP(M463,'PF Uscite Sp. Corr.'!$C$1:$E$100,2,FALSE)</f>
        <v>Altri beni di consumo</v>
      </c>
      <c r="O463" s="131">
        <v>1521</v>
      </c>
      <c r="P463" s="614" t="str">
        <f>VLOOKUP(O463,'Centri di Costo'!$A$2:$B$179,2,FALSE)</f>
        <v>Att. Ord. Verona - Att. Selvicolturali sul demanio</v>
      </c>
      <c r="Q463" s="623" t="s">
        <v>1999</v>
      </c>
      <c r="R463" s="642" t="s">
        <v>607</v>
      </c>
    </row>
    <row r="464" spans="1:18" ht="28.5" customHeight="1" outlineLevel="2">
      <c r="A464" s="85" t="s">
        <v>588</v>
      </c>
      <c r="B464" s="402" t="s">
        <v>1866</v>
      </c>
      <c r="C464" s="85" t="s">
        <v>599</v>
      </c>
      <c r="D464" s="148" t="s">
        <v>7</v>
      </c>
      <c r="E464" s="87">
        <v>2018</v>
      </c>
      <c r="F464" s="88">
        <v>158</v>
      </c>
      <c r="G464" s="120" t="s">
        <v>664</v>
      </c>
      <c r="H464" s="581" t="s">
        <v>317</v>
      </c>
      <c r="I464" s="601">
        <v>100</v>
      </c>
      <c r="J464" s="595" t="s">
        <v>36</v>
      </c>
      <c r="K464" s="91">
        <v>1</v>
      </c>
      <c r="L464" s="91">
        <v>3</v>
      </c>
      <c r="M464" s="92">
        <v>32</v>
      </c>
      <c r="N464" s="119" t="str">
        <f>VLOOKUP(M464,'PF Uscite Sp. Corr.'!$C$1:$E$100,2,FALSE)</f>
        <v>Altri beni di consumo</v>
      </c>
      <c r="O464" s="131">
        <v>1522</v>
      </c>
      <c r="P464" s="614" t="str">
        <f>VLOOKUP(O464,'Centri di Costo'!$A$2:$B$179,2,FALSE)</f>
        <v>Att. Ord. Verona - Manutenz. Ambientali</v>
      </c>
      <c r="Q464" s="623" t="s">
        <v>1999</v>
      </c>
      <c r="R464" s="642" t="s">
        <v>318</v>
      </c>
    </row>
    <row r="465" spans="1:18" ht="28.5" customHeight="1" outlineLevel="2">
      <c r="A465" s="85" t="s">
        <v>588</v>
      </c>
      <c r="B465" s="402" t="s">
        <v>1866</v>
      </c>
      <c r="C465" s="85" t="s">
        <v>599</v>
      </c>
      <c r="D465" s="148" t="s">
        <v>7</v>
      </c>
      <c r="E465" s="87">
        <v>2018</v>
      </c>
      <c r="F465" s="88">
        <v>158</v>
      </c>
      <c r="G465" s="120" t="s">
        <v>664</v>
      </c>
      <c r="H465" s="581" t="s">
        <v>2017</v>
      </c>
      <c r="I465" s="601">
        <v>6500</v>
      </c>
      <c r="J465" s="595" t="s">
        <v>36</v>
      </c>
      <c r="K465" s="91">
        <v>1</v>
      </c>
      <c r="L465" s="91">
        <v>3</v>
      </c>
      <c r="M465" s="92">
        <v>32</v>
      </c>
      <c r="N465" s="119" t="str">
        <f>VLOOKUP(M465,'PF Uscite Sp. Corr.'!$C$1:$E$100,2,FALSE)</f>
        <v>Altri beni di consumo</v>
      </c>
      <c r="O465" s="131">
        <v>1522</v>
      </c>
      <c r="P465" s="614" t="str">
        <f>VLOOKUP(O465,'Centri di Costo'!$A$2:$B$179,2,FALSE)</f>
        <v>Att. Ord. Verona - Manutenz. Ambientali</v>
      </c>
      <c r="Q465" s="623" t="s">
        <v>1999</v>
      </c>
      <c r="R465" s="642" t="s">
        <v>73</v>
      </c>
    </row>
    <row r="466" spans="1:18" ht="28.5" customHeight="1" outlineLevel="2">
      <c r="A466" s="85" t="s">
        <v>588</v>
      </c>
      <c r="B466" s="402" t="s">
        <v>1866</v>
      </c>
      <c r="C466" s="85" t="s">
        <v>599</v>
      </c>
      <c r="D466" s="148" t="s">
        <v>7</v>
      </c>
      <c r="E466" s="87">
        <v>2018</v>
      </c>
      <c r="F466" s="88">
        <v>158</v>
      </c>
      <c r="G466" s="120" t="s">
        <v>664</v>
      </c>
      <c r="H466" s="581" t="s">
        <v>665</v>
      </c>
      <c r="I466" s="601">
        <v>43110</v>
      </c>
      <c r="J466" s="595" t="s">
        <v>36</v>
      </c>
      <c r="K466" s="91">
        <v>1</v>
      </c>
      <c r="L466" s="91">
        <v>3</v>
      </c>
      <c r="M466" s="92">
        <v>32</v>
      </c>
      <c r="N466" s="119" t="str">
        <f>VLOOKUP(M466,'PF Uscite Sp. Corr.'!$C$1:$E$100,2,FALSE)</f>
        <v>Altri beni di consumo</v>
      </c>
      <c r="O466" s="131">
        <v>1522</v>
      </c>
      <c r="P466" s="614" t="str">
        <f>VLOOKUP(O466,'Centri di Costo'!$A$2:$B$179,2,FALSE)</f>
        <v>Att. Ord. Verona - Manutenz. Ambientali</v>
      </c>
      <c r="Q466" s="623" t="s">
        <v>1999</v>
      </c>
      <c r="R466" s="642" t="s">
        <v>545</v>
      </c>
    </row>
    <row r="467" spans="1:18" ht="28.5" customHeight="1" outlineLevel="2">
      <c r="A467" s="85" t="s">
        <v>588</v>
      </c>
      <c r="B467" s="402" t="s">
        <v>1866</v>
      </c>
      <c r="C467" s="85" t="s">
        <v>599</v>
      </c>
      <c r="D467" s="148" t="s">
        <v>7</v>
      </c>
      <c r="E467" s="87">
        <v>2018</v>
      </c>
      <c r="F467" s="88">
        <v>158</v>
      </c>
      <c r="G467" s="120" t="s">
        <v>664</v>
      </c>
      <c r="H467" s="581" t="s">
        <v>471</v>
      </c>
      <c r="I467" s="601">
        <v>500</v>
      </c>
      <c r="J467" s="595" t="s">
        <v>36</v>
      </c>
      <c r="K467" s="91">
        <v>1</v>
      </c>
      <c r="L467" s="91">
        <v>3</v>
      </c>
      <c r="M467" s="92">
        <v>32</v>
      </c>
      <c r="N467" s="119" t="str">
        <f>VLOOKUP(M467,'PF Uscite Sp. Corr.'!$C$1:$E$100,2,FALSE)</f>
        <v>Altri beni di consumo</v>
      </c>
      <c r="O467" s="131">
        <v>1522</v>
      </c>
      <c r="P467" s="614" t="str">
        <f>VLOOKUP(O467,'Centri di Costo'!$A$2:$B$179,2,FALSE)</f>
        <v>Att. Ord. Verona - Manutenz. Ambientali</v>
      </c>
      <c r="Q467" s="623" t="s">
        <v>1999</v>
      </c>
      <c r="R467" s="642" t="s">
        <v>472</v>
      </c>
    </row>
    <row r="468" spans="1:18" ht="28.5" customHeight="1" outlineLevel="2">
      <c r="A468" s="85" t="s">
        <v>588</v>
      </c>
      <c r="B468" s="402" t="s">
        <v>1866</v>
      </c>
      <c r="C468" s="85" t="s">
        <v>599</v>
      </c>
      <c r="D468" s="148" t="s">
        <v>7</v>
      </c>
      <c r="E468" s="87">
        <v>2018</v>
      </c>
      <c r="F468" s="88">
        <v>158</v>
      </c>
      <c r="G468" s="120" t="s">
        <v>664</v>
      </c>
      <c r="H468" s="581" t="s">
        <v>668</v>
      </c>
      <c r="I468" s="601">
        <v>5000</v>
      </c>
      <c r="J468" s="595" t="s">
        <v>36</v>
      </c>
      <c r="K468" s="91">
        <v>1</v>
      </c>
      <c r="L468" s="91">
        <v>3</v>
      </c>
      <c r="M468" s="92">
        <v>32</v>
      </c>
      <c r="N468" s="119" t="str">
        <f>VLOOKUP(M468,'PF Uscite Sp. Corr.'!$C$1:$E$100,2,FALSE)</f>
        <v>Altri beni di consumo</v>
      </c>
      <c r="O468" s="131">
        <v>1522</v>
      </c>
      <c r="P468" s="614" t="str">
        <f>VLOOKUP(O468,'Centri di Costo'!$A$2:$B$179,2,FALSE)</f>
        <v>Att. Ord. Verona - Manutenz. Ambientali</v>
      </c>
      <c r="Q468" s="623" t="s">
        <v>1999</v>
      </c>
      <c r="R468" s="642" t="s">
        <v>499</v>
      </c>
    </row>
    <row r="469" spans="1:18" ht="28.5" customHeight="1" outlineLevel="2">
      <c r="A469" s="85" t="s">
        <v>588</v>
      </c>
      <c r="B469" s="402" t="s">
        <v>1866</v>
      </c>
      <c r="C469" s="85" t="s">
        <v>599</v>
      </c>
      <c r="D469" s="148" t="s">
        <v>7</v>
      </c>
      <c r="E469" s="87">
        <v>2018</v>
      </c>
      <c r="F469" s="88">
        <v>209</v>
      </c>
      <c r="G469" s="120" t="s">
        <v>672</v>
      </c>
      <c r="H469" s="581" t="s">
        <v>2018</v>
      </c>
      <c r="I469" s="601">
        <v>12900</v>
      </c>
      <c r="J469" s="595" t="s">
        <v>36</v>
      </c>
      <c r="K469" s="91">
        <v>1</v>
      </c>
      <c r="L469" s="91">
        <v>3</v>
      </c>
      <c r="M469" s="92">
        <v>32</v>
      </c>
      <c r="N469" s="119" t="str">
        <f>VLOOKUP(M469,'PF Uscite Sp. Corr.'!$C$1:$E$100,2,FALSE)</f>
        <v>Altri beni di consumo</v>
      </c>
      <c r="O469" s="131">
        <v>1528</v>
      </c>
      <c r="P469" s="614" t="str">
        <f>VLOOKUP(O469,'Centri di Costo'!$A$2:$B$179,2,FALSE)</f>
        <v>Att. Ord. Verona - Spese Generali</v>
      </c>
      <c r="Q469" s="623" t="s">
        <v>2014</v>
      </c>
      <c r="R469" s="642" t="s">
        <v>73</v>
      </c>
    </row>
    <row r="470" spans="1:18" ht="28.5" customHeight="1" outlineLevel="2">
      <c r="A470" s="85" t="s">
        <v>588</v>
      </c>
      <c r="B470" s="402" t="s">
        <v>1866</v>
      </c>
      <c r="C470" s="85" t="s">
        <v>599</v>
      </c>
      <c r="D470" s="148" t="s">
        <v>7</v>
      </c>
      <c r="E470" s="87">
        <v>2018</v>
      </c>
      <c r="F470" s="88">
        <v>209</v>
      </c>
      <c r="G470" s="120" t="s">
        <v>672</v>
      </c>
      <c r="H470" s="581" t="s">
        <v>681</v>
      </c>
      <c r="I470" s="601">
        <v>400</v>
      </c>
      <c r="J470" s="595" t="s">
        <v>36</v>
      </c>
      <c r="K470" s="91">
        <v>1</v>
      </c>
      <c r="L470" s="91">
        <v>3</v>
      </c>
      <c r="M470" s="92">
        <v>32</v>
      </c>
      <c r="N470" s="119" t="str">
        <f>VLOOKUP(M470,'PF Uscite Sp. Corr.'!$C$1:$E$100,2,FALSE)</f>
        <v>Altri beni di consumo</v>
      </c>
      <c r="O470" s="131">
        <v>1528</v>
      </c>
      <c r="P470" s="614" t="str">
        <f>VLOOKUP(O470,'Centri di Costo'!$A$2:$B$179,2,FALSE)</f>
        <v>Att. Ord. Verona - Spese Generali</v>
      </c>
      <c r="Q470" s="623" t="s">
        <v>1999</v>
      </c>
      <c r="R470" s="642" t="s">
        <v>469</v>
      </c>
    </row>
    <row r="471" spans="1:18" ht="28.5" customHeight="1" outlineLevel="2">
      <c r="A471" s="85" t="s">
        <v>588</v>
      </c>
      <c r="B471" s="402" t="s">
        <v>1866</v>
      </c>
      <c r="C471" s="85" t="s">
        <v>599</v>
      </c>
      <c r="D471" s="148" t="s">
        <v>7</v>
      </c>
      <c r="E471" s="87">
        <v>2018</v>
      </c>
      <c r="F471" s="88">
        <v>209</v>
      </c>
      <c r="G471" s="120" t="s">
        <v>672</v>
      </c>
      <c r="H471" s="581" t="s">
        <v>682</v>
      </c>
      <c r="I471" s="601">
        <v>450</v>
      </c>
      <c r="J471" s="595" t="s">
        <v>36</v>
      </c>
      <c r="K471" s="91">
        <v>1</v>
      </c>
      <c r="L471" s="91">
        <v>3</v>
      </c>
      <c r="M471" s="92">
        <v>32</v>
      </c>
      <c r="N471" s="119" t="str">
        <f>VLOOKUP(M471,'PF Uscite Sp. Corr.'!$C$1:$E$100,2,FALSE)</f>
        <v>Altri beni di consumo</v>
      </c>
      <c r="O471" s="131">
        <v>1528</v>
      </c>
      <c r="P471" s="614" t="str">
        <f>VLOOKUP(O471,'Centri di Costo'!$A$2:$B$179,2,FALSE)</f>
        <v>Att. Ord. Verona - Spese Generali</v>
      </c>
      <c r="Q471" s="623" t="s">
        <v>1999</v>
      </c>
      <c r="R471" s="642" t="s">
        <v>683</v>
      </c>
    </row>
    <row r="472" spans="1:18" ht="28.5" customHeight="1" outlineLevel="2">
      <c r="A472" s="85" t="s">
        <v>588</v>
      </c>
      <c r="B472" s="402" t="s">
        <v>1866</v>
      </c>
      <c r="C472" s="85" t="s">
        <v>599</v>
      </c>
      <c r="D472" s="148" t="s">
        <v>7</v>
      </c>
      <c r="E472" s="87">
        <v>2018</v>
      </c>
      <c r="F472" s="88">
        <v>209</v>
      </c>
      <c r="G472" s="120" t="s">
        <v>672</v>
      </c>
      <c r="H472" s="581" t="s">
        <v>693</v>
      </c>
      <c r="I472" s="601">
        <v>200</v>
      </c>
      <c r="J472" s="595" t="s">
        <v>36</v>
      </c>
      <c r="K472" s="91">
        <v>1</v>
      </c>
      <c r="L472" s="91">
        <v>3</v>
      </c>
      <c r="M472" s="92">
        <v>32</v>
      </c>
      <c r="N472" s="119" t="str">
        <f>VLOOKUP(M472,'PF Uscite Sp. Corr.'!$C$1:$E$100,2,FALSE)</f>
        <v>Altri beni di consumo</v>
      </c>
      <c r="O472" s="131">
        <v>1528</v>
      </c>
      <c r="P472" s="614" t="str">
        <f>VLOOKUP(O472,'Centri di Costo'!$A$2:$B$179,2,FALSE)</f>
        <v>Att. Ord. Verona - Spese Generali</v>
      </c>
      <c r="Q472" s="623" t="s">
        <v>1999</v>
      </c>
      <c r="R472" s="642" t="s">
        <v>190</v>
      </c>
    </row>
    <row r="473" spans="1:18" ht="28.5" customHeight="1" outlineLevel="2">
      <c r="A473" s="85" t="s">
        <v>588</v>
      </c>
      <c r="B473" s="402" t="s">
        <v>1866</v>
      </c>
      <c r="C473" s="85" t="s">
        <v>599</v>
      </c>
      <c r="D473" s="148" t="s">
        <v>7</v>
      </c>
      <c r="E473" s="87">
        <v>2018</v>
      </c>
      <c r="F473" s="88">
        <v>209</v>
      </c>
      <c r="G473" s="120" t="s">
        <v>672</v>
      </c>
      <c r="H473" s="581" t="s">
        <v>689</v>
      </c>
      <c r="I473" s="601">
        <v>1500</v>
      </c>
      <c r="J473" s="595" t="s">
        <v>36</v>
      </c>
      <c r="K473" s="91">
        <v>1</v>
      </c>
      <c r="L473" s="91">
        <v>3</v>
      </c>
      <c r="M473" s="92">
        <v>42</v>
      </c>
      <c r="N473" s="119" t="str">
        <f>VLOOKUP(M473,'PF Uscite Sp. Corr.'!$C$1:$E$100,2,FALSE)</f>
        <v>Rimborso viaggio e Indennità di missione e trasferta</v>
      </c>
      <c r="O473" s="131">
        <v>1528</v>
      </c>
      <c r="P473" s="614" t="str">
        <f>VLOOKUP(O473,'Centri di Costo'!$A$2:$B$179,2,FALSE)</f>
        <v>Att. Ord. Verona - Spese Generali</v>
      </c>
      <c r="Q473" s="623" t="s">
        <v>1999</v>
      </c>
      <c r="R473" s="642" t="s">
        <v>74</v>
      </c>
    </row>
    <row r="474" spans="1:18" ht="28.5" customHeight="1" outlineLevel="2">
      <c r="A474" s="85" t="s">
        <v>588</v>
      </c>
      <c r="B474" s="402" t="s">
        <v>1866</v>
      </c>
      <c r="C474" s="85" t="s">
        <v>599</v>
      </c>
      <c r="D474" s="148" t="s">
        <v>7</v>
      </c>
      <c r="E474" s="87">
        <v>2018</v>
      </c>
      <c r="F474" s="88">
        <v>209</v>
      </c>
      <c r="G474" s="120" t="s">
        <v>672</v>
      </c>
      <c r="H474" s="581" t="s">
        <v>674</v>
      </c>
      <c r="I474" s="601">
        <v>3150</v>
      </c>
      <c r="J474" s="595" t="s">
        <v>36</v>
      </c>
      <c r="K474" s="91">
        <v>1</v>
      </c>
      <c r="L474" s="91">
        <v>3</v>
      </c>
      <c r="M474" s="92">
        <v>45</v>
      </c>
      <c r="N474" s="119" t="str">
        <f>VLOOKUP(M474,'PF Uscite Sp. Corr.'!$C$1:$E$100,2,FALSE)</f>
        <v>Utenze e canoni</v>
      </c>
      <c r="O474" s="131">
        <v>1528</v>
      </c>
      <c r="P474" s="614" t="str">
        <f>VLOOKUP(O474,'Centri di Costo'!$A$2:$B$179,2,FALSE)</f>
        <v>Att. Ord. Verona - Spese Generali</v>
      </c>
      <c r="Q474" s="623" t="s">
        <v>1999</v>
      </c>
      <c r="R474" s="642" t="s">
        <v>67</v>
      </c>
    </row>
    <row r="475" spans="1:18" ht="28.5" customHeight="1" outlineLevel="2">
      <c r="A475" s="85" t="s">
        <v>588</v>
      </c>
      <c r="B475" s="402" t="s">
        <v>1866</v>
      </c>
      <c r="C475" s="85" t="s">
        <v>599</v>
      </c>
      <c r="D475" s="148" t="s">
        <v>7</v>
      </c>
      <c r="E475" s="87">
        <v>2018</v>
      </c>
      <c r="F475" s="88">
        <v>209</v>
      </c>
      <c r="G475" s="120" t="s">
        <v>672</v>
      </c>
      <c r="H475" s="581" t="s">
        <v>678</v>
      </c>
      <c r="I475" s="601">
        <v>5250</v>
      </c>
      <c r="J475" s="595" t="s">
        <v>36</v>
      </c>
      <c r="K475" s="91">
        <v>1</v>
      </c>
      <c r="L475" s="91">
        <v>3</v>
      </c>
      <c r="M475" s="92">
        <v>45</v>
      </c>
      <c r="N475" s="119" t="str">
        <f>VLOOKUP(M475,'PF Uscite Sp. Corr.'!$C$1:$E$100,2,FALSE)</f>
        <v>Utenze e canoni</v>
      </c>
      <c r="O475" s="131">
        <v>1528</v>
      </c>
      <c r="P475" s="614" t="str">
        <f>VLOOKUP(O475,'Centri di Costo'!$A$2:$B$179,2,FALSE)</f>
        <v>Att. Ord. Verona - Spese Generali</v>
      </c>
      <c r="Q475" s="624" t="s">
        <v>2014</v>
      </c>
      <c r="R475" s="642" t="s">
        <v>63</v>
      </c>
    </row>
    <row r="476" spans="1:18" ht="28.5" customHeight="1" outlineLevel="2">
      <c r="A476" s="85" t="s">
        <v>588</v>
      </c>
      <c r="B476" s="402" t="s">
        <v>1866</v>
      </c>
      <c r="C476" s="85" t="s">
        <v>599</v>
      </c>
      <c r="D476" s="148" t="s">
        <v>7</v>
      </c>
      <c r="E476" s="87">
        <v>2018</v>
      </c>
      <c r="F476" s="88">
        <v>209</v>
      </c>
      <c r="G476" s="120" t="s">
        <v>672</v>
      </c>
      <c r="H476" s="581" t="s">
        <v>76</v>
      </c>
      <c r="I476" s="601">
        <v>1000</v>
      </c>
      <c r="J476" s="595" t="s">
        <v>36</v>
      </c>
      <c r="K476" s="91">
        <v>1</v>
      </c>
      <c r="L476" s="91">
        <v>3</v>
      </c>
      <c r="M476" s="92">
        <v>45</v>
      </c>
      <c r="N476" s="119" t="str">
        <f>VLOOKUP(M476,'PF Uscite Sp. Corr.'!$C$1:$E$100,2,FALSE)</f>
        <v>Utenze e canoni</v>
      </c>
      <c r="O476" s="131">
        <v>1528</v>
      </c>
      <c r="P476" s="614" t="str">
        <f>VLOOKUP(O476,'Centri di Costo'!$A$2:$B$179,2,FALSE)</f>
        <v>Att. Ord. Verona - Spese Generali</v>
      </c>
      <c r="Q476" s="624" t="s">
        <v>2014</v>
      </c>
      <c r="R476" s="642" t="s">
        <v>65</v>
      </c>
    </row>
    <row r="477" spans="1:18" ht="28.5" customHeight="1" outlineLevel="2">
      <c r="A477" s="85" t="s">
        <v>588</v>
      </c>
      <c r="B477" s="402" t="s">
        <v>1866</v>
      </c>
      <c r="C477" s="85" t="s">
        <v>599</v>
      </c>
      <c r="D477" s="148" t="s">
        <v>7</v>
      </c>
      <c r="E477" s="87">
        <v>2018</v>
      </c>
      <c r="F477" s="88">
        <v>209</v>
      </c>
      <c r="G477" s="120" t="s">
        <v>672</v>
      </c>
      <c r="H477" s="581" t="s">
        <v>644</v>
      </c>
      <c r="I477" s="601">
        <v>1100</v>
      </c>
      <c r="J477" s="595" t="s">
        <v>36</v>
      </c>
      <c r="K477" s="91">
        <v>1</v>
      </c>
      <c r="L477" s="91">
        <v>3</v>
      </c>
      <c r="M477" s="92">
        <v>45</v>
      </c>
      <c r="N477" s="119" t="str">
        <f>VLOOKUP(M477,'PF Uscite Sp. Corr.'!$C$1:$E$100,2,FALSE)</f>
        <v>Utenze e canoni</v>
      </c>
      <c r="O477" s="131">
        <v>1528</v>
      </c>
      <c r="P477" s="614" t="str">
        <f>VLOOKUP(O477,'Centri di Costo'!$A$2:$B$179,2,FALSE)</f>
        <v>Att. Ord. Verona - Spese Generali</v>
      </c>
      <c r="Q477" s="624" t="s">
        <v>2014</v>
      </c>
      <c r="R477" s="642" t="s">
        <v>75</v>
      </c>
    </row>
    <row r="478" spans="1:18" ht="28.5" customHeight="1" outlineLevel="2">
      <c r="A478" s="85" t="s">
        <v>588</v>
      </c>
      <c r="B478" s="402" t="s">
        <v>1866</v>
      </c>
      <c r="C478" s="85" t="s">
        <v>599</v>
      </c>
      <c r="D478" s="148" t="s">
        <v>7</v>
      </c>
      <c r="E478" s="87">
        <v>2018</v>
      </c>
      <c r="F478" s="88">
        <v>209</v>
      </c>
      <c r="G478" s="120" t="s">
        <v>672</v>
      </c>
      <c r="H478" s="581" t="s">
        <v>57</v>
      </c>
      <c r="I478" s="601">
        <v>6150</v>
      </c>
      <c r="J478" s="595" t="s">
        <v>36</v>
      </c>
      <c r="K478" s="91">
        <v>1</v>
      </c>
      <c r="L478" s="91">
        <v>3</v>
      </c>
      <c r="M478" s="92">
        <v>45</v>
      </c>
      <c r="N478" s="119" t="str">
        <f>VLOOKUP(M478,'PF Uscite Sp. Corr.'!$C$1:$E$100,2,FALSE)</f>
        <v>Utenze e canoni</v>
      </c>
      <c r="O478" s="131">
        <v>1528</v>
      </c>
      <c r="P478" s="614" t="str">
        <f>VLOOKUP(O478,'Centri di Costo'!$A$2:$B$179,2,FALSE)</f>
        <v>Att. Ord. Verona - Spese Generali</v>
      </c>
      <c r="Q478" s="624" t="s">
        <v>2014</v>
      </c>
      <c r="R478" s="642" t="s">
        <v>58</v>
      </c>
    </row>
    <row r="479" spans="1:18" ht="28.5" customHeight="1" outlineLevel="2">
      <c r="A479" s="85" t="s">
        <v>588</v>
      </c>
      <c r="B479" s="402" t="s">
        <v>1866</v>
      </c>
      <c r="C479" s="85" t="s">
        <v>599</v>
      </c>
      <c r="D479" s="148" t="s">
        <v>7</v>
      </c>
      <c r="E479" s="87">
        <v>2018</v>
      </c>
      <c r="F479" s="88">
        <v>158</v>
      </c>
      <c r="G479" s="120" t="s">
        <v>664</v>
      </c>
      <c r="H479" s="581" t="s">
        <v>666</v>
      </c>
      <c r="I479" s="601">
        <v>1000</v>
      </c>
      <c r="J479" s="595" t="s">
        <v>36</v>
      </c>
      <c r="K479" s="91">
        <v>1</v>
      </c>
      <c r="L479" s="91">
        <v>3</v>
      </c>
      <c r="M479" s="92">
        <v>47</v>
      </c>
      <c r="N479" s="119" t="str">
        <f>VLOOKUP(M479,'PF Uscite Sp. Corr.'!$C$1:$E$100,2,FALSE)</f>
        <v>Utilizzo di beni di terzi</v>
      </c>
      <c r="O479" s="131">
        <v>1522</v>
      </c>
      <c r="P479" s="614" t="str">
        <f>VLOOKUP(O479,'Centri di Costo'!$A$2:$B$179,2,FALSE)</f>
        <v>Att. Ord. Verona - Manutenz. Ambientali</v>
      </c>
      <c r="Q479" s="623" t="s">
        <v>1999</v>
      </c>
      <c r="R479" s="642" t="s">
        <v>180</v>
      </c>
    </row>
    <row r="480" spans="1:18" ht="28.5" customHeight="1" outlineLevel="2">
      <c r="A480" s="85" t="s">
        <v>588</v>
      </c>
      <c r="B480" s="402" t="s">
        <v>1866</v>
      </c>
      <c r="C480" s="85" t="s">
        <v>599</v>
      </c>
      <c r="D480" s="148" t="s">
        <v>7</v>
      </c>
      <c r="E480" s="87">
        <v>2018</v>
      </c>
      <c r="F480" s="88">
        <v>209</v>
      </c>
      <c r="G480" s="120" t="s">
        <v>672</v>
      </c>
      <c r="H480" s="581" t="s">
        <v>687</v>
      </c>
      <c r="I480" s="601">
        <v>15000</v>
      </c>
      <c r="J480" s="595" t="s">
        <v>36</v>
      </c>
      <c r="K480" s="91">
        <v>1</v>
      </c>
      <c r="L480" s="91">
        <v>3</v>
      </c>
      <c r="M480" s="92">
        <v>47</v>
      </c>
      <c r="N480" s="119" t="str">
        <f>VLOOKUP(M480,'PF Uscite Sp. Corr.'!$C$1:$E$100,2,FALSE)</f>
        <v>Utilizzo di beni di terzi</v>
      </c>
      <c r="O480" s="131">
        <v>1528</v>
      </c>
      <c r="P480" s="614" t="str">
        <f>VLOOKUP(O480,'Centri di Costo'!$A$2:$B$179,2,FALSE)</f>
        <v>Att. Ord. Verona - Spese Generali</v>
      </c>
      <c r="Q480" s="623" t="s">
        <v>1999</v>
      </c>
      <c r="R480" s="642" t="s">
        <v>688</v>
      </c>
    </row>
    <row r="481" spans="1:18" ht="28.5" customHeight="1" outlineLevel="2">
      <c r="A481" s="85" t="s">
        <v>588</v>
      </c>
      <c r="B481" s="402" t="s">
        <v>1866</v>
      </c>
      <c r="C481" s="85" t="s">
        <v>599</v>
      </c>
      <c r="D481" s="148" t="s">
        <v>7</v>
      </c>
      <c r="E481" s="87">
        <v>2018</v>
      </c>
      <c r="F481" s="88">
        <v>209</v>
      </c>
      <c r="G481" s="120" t="s">
        <v>672</v>
      </c>
      <c r="H481" s="581" t="s">
        <v>694</v>
      </c>
      <c r="I481" s="601">
        <v>800</v>
      </c>
      <c r="J481" s="595" t="s">
        <v>36</v>
      </c>
      <c r="K481" s="91">
        <v>1</v>
      </c>
      <c r="L481" s="91">
        <v>3</v>
      </c>
      <c r="M481" s="92">
        <v>47</v>
      </c>
      <c r="N481" s="119" t="str">
        <f>VLOOKUP(M481,'PF Uscite Sp. Corr.'!$C$1:$E$100,2,FALSE)</f>
        <v>Utilizzo di beni di terzi</v>
      </c>
      <c r="O481" s="131">
        <v>1528</v>
      </c>
      <c r="P481" s="614" t="str">
        <f>VLOOKUP(O481,'Centri di Costo'!$A$2:$B$179,2,FALSE)</f>
        <v>Att. Ord. Verona - Spese Generali</v>
      </c>
      <c r="Q481" s="623" t="s">
        <v>1999</v>
      </c>
      <c r="R481" s="642" t="s">
        <v>127</v>
      </c>
    </row>
    <row r="482" spans="1:18" ht="28.5" customHeight="1" outlineLevel="2">
      <c r="A482" s="85" t="s">
        <v>588</v>
      </c>
      <c r="B482" s="402" t="s">
        <v>1866</v>
      </c>
      <c r="C482" s="85" t="s">
        <v>599</v>
      </c>
      <c r="D482" s="148" t="s">
        <v>7</v>
      </c>
      <c r="E482" s="87">
        <v>2018</v>
      </c>
      <c r="F482" s="88">
        <v>158</v>
      </c>
      <c r="G482" s="120" t="s">
        <v>664</v>
      </c>
      <c r="H482" s="581" t="s">
        <v>621</v>
      </c>
      <c r="I482" s="601">
        <v>1000</v>
      </c>
      <c r="J482" s="595" t="s">
        <v>36</v>
      </c>
      <c r="K482" s="91">
        <v>1</v>
      </c>
      <c r="L482" s="91">
        <v>3</v>
      </c>
      <c r="M482" s="92">
        <v>49</v>
      </c>
      <c r="N482" s="119" t="str">
        <f>VLOOKUP(M482,'PF Uscite Sp. Corr.'!$C$1:$E$100,2,FALSE)</f>
        <v>Manutenzione ordinaria e riparazioni</v>
      </c>
      <c r="O482" s="131">
        <v>1522</v>
      </c>
      <c r="P482" s="614" t="str">
        <f>VLOOKUP(O482,'Centri di Costo'!$A$2:$B$179,2,FALSE)</f>
        <v>Att. Ord. Verona - Manutenz. Ambientali</v>
      </c>
      <c r="Q482" s="623" t="s">
        <v>1999</v>
      </c>
      <c r="R482" s="642" t="s">
        <v>93</v>
      </c>
    </row>
    <row r="483" spans="1:18" ht="28.5" customHeight="1" outlineLevel="2">
      <c r="A483" s="85" t="s">
        <v>588</v>
      </c>
      <c r="B483" s="402" t="s">
        <v>1866</v>
      </c>
      <c r="C483" s="85" t="s">
        <v>599</v>
      </c>
      <c r="D483" s="148" t="s">
        <v>7</v>
      </c>
      <c r="E483" s="87">
        <v>2018</v>
      </c>
      <c r="F483" s="88">
        <v>158</v>
      </c>
      <c r="G483" s="120" t="s">
        <v>664</v>
      </c>
      <c r="H483" s="581" t="s">
        <v>611</v>
      </c>
      <c r="I483" s="601">
        <v>1500</v>
      </c>
      <c r="J483" s="595" t="s">
        <v>36</v>
      </c>
      <c r="K483" s="91">
        <v>1</v>
      </c>
      <c r="L483" s="91">
        <v>3</v>
      </c>
      <c r="M483" s="92">
        <v>49</v>
      </c>
      <c r="N483" s="119" t="str">
        <f>VLOOKUP(M483,'PF Uscite Sp. Corr.'!$C$1:$E$100,2,FALSE)</f>
        <v>Manutenzione ordinaria e riparazioni</v>
      </c>
      <c r="O483" s="131">
        <v>1522</v>
      </c>
      <c r="P483" s="614" t="str">
        <f>VLOOKUP(O483,'Centri di Costo'!$A$2:$B$179,2,FALSE)</f>
        <v>Att. Ord. Verona - Manutenz. Ambientali</v>
      </c>
      <c r="Q483" s="623" t="s">
        <v>1999</v>
      </c>
      <c r="R483" s="642" t="s">
        <v>612</v>
      </c>
    </row>
    <row r="484" spans="1:18" ht="28.5" customHeight="1" outlineLevel="2">
      <c r="A484" s="85" t="s">
        <v>588</v>
      </c>
      <c r="B484" s="402" t="s">
        <v>1866</v>
      </c>
      <c r="C484" s="85" t="s">
        <v>599</v>
      </c>
      <c r="D484" s="148" t="s">
        <v>7</v>
      </c>
      <c r="E484" s="87">
        <v>2018</v>
      </c>
      <c r="F484" s="88">
        <v>172</v>
      </c>
      <c r="G484" s="120" t="s">
        <v>669</v>
      </c>
      <c r="H484" s="581" t="s">
        <v>670</v>
      </c>
      <c r="I484" s="601">
        <v>3500</v>
      </c>
      <c r="J484" s="595" t="s">
        <v>36</v>
      </c>
      <c r="K484" s="91">
        <v>1</v>
      </c>
      <c r="L484" s="91">
        <v>3</v>
      </c>
      <c r="M484" s="92">
        <v>49</v>
      </c>
      <c r="N484" s="119" t="str">
        <f>VLOOKUP(M484,'PF Uscite Sp. Corr.'!$C$1:$E$100,2,FALSE)</f>
        <v>Manutenzione ordinaria e riparazioni</v>
      </c>
      <c r="O484" s="131">
        <v>1523</v>
      </c>
      <c r="P484" s="614" t="str">
        <f>VLOOKUP(O484,'Centri di Costo'!$A$2:$B$179,2,FALSE)</f>
        <v>Att. Ord. Verona - Gest. Fabbr. e suolo demaniale in concessione</v>
      </c>
      <c r="Q484" s="623" t="s">
        <v>1999</v>
      </c>
      <c r="R484" s="642" t="s">
        <v>97</v>
      </c>
    </row>
    <row r="485" spans="1:18" ht="28.5" customHeight="1" outlineLevel="2">
      <c r="A485" s="85" t="s">
        <v>588</v>
      </c>
      <c r="B485" s="402" t="s">
        <v>1866</v>
      </c>
      <c r="C485" s="85" t="s">
        <v>599</v>
      </c>
      <c r="D485" s="148" t="s">
        <v>7</v>
      </c>
      <c r="E485" s="87">
        <v>2018</v>
      </c>
      <c r="F485" s="88">
        <v>172</v>
      </c>
      <c r="G485" s="120" t="s">
        <v>669</v>
      </c>
      <c r="H485" s="581" t="s">
        <v>621</v>
      </c>
      <c r="I485" s="601">
        <v>8000</v>
      </c>
      <c r="J485" s="595" t="s">
        <v>36</v>
      </c>
      <c r="K485" s="91">
        <v>1</v>
      </c>
      <c r="L485" s="91">
        <v>3</v>
      </c>
      <c r="M485" s="92">
        <v>49</v>
      </c>
      <c r="N485" s="119" t="str">
        <f>VLOOKUP(M485,'PF Uscite Sp. Corr.'!$C$1:$E$100,2,FALSE)</f>
        <v>Manutenzione ordinaria e riparazioni</v>
      </c>
      <c r="O485" s="131">
        <v>1523</v>
      </c>
      <c r="P485" s="614" t="str">
        <f>VLOOKUP(O485,'Centri di Costo'!$A$2:$B$179,2,FALSE)</f>
        <v>Att. Ord. Verona - Gest. Fabbr. e suolo demaniale in concessione</v>
      </c>
      <c r="Q485" s="623" t="s">
        <v>1999</v>
      </c>
      <c r="R485" s="642" t="s">
        <v>93</v>
      </c>
    </row>
    <row r="486" spans="1:18" ht="28.5" customHeight="1" outlineLevel="2">
      <c r="A486" s="85" t="s">
        <v>588</v>
      </c>
      <c r="B486" s="402" t="s">
        <v>1866</v>
      </c>
      <c r="C486" s="85" t="s">
        <v>599</v>
      </c>
      <c r="D486" s="148" t="s">
        <v>7</v>
      </c>
      <c r="E486" s="87">
        <v>2018</v>
      </c>
      <c r="F486" s="88">
        <v>172</v>
      </c>
      <c r="G486" s="120" t="s">
        <v>669</v>
      </c>
      <c r="H486" s="581" t="s">
        <v>671</v>
      </c>
      <c r="I486" s="601">
        <f>4600+10000</f>
        <v>14600</v>
      </c>
      <c r="J486" s="595" t="s">
        <v>36</v>
      </c>
      <c r="K486" s="91">
        <v>1</v>
      </c>
      <c r="L486" s="91">
        <v>3</v>
      </c>
      <c r="M486" s="92">
        <v>49</v>
      </c>
      <c r="N486" s="119" t="str">
        <f>VLOOKUP(M486,'PF Uscite Sp. Corr.'!$C$1:$E$100,2,FALSE)</f>
        <v>Manutenzione ordinaria e riparazioni</v>
      </c>
      <c r="O486" s="131">
        <v>1523</v>
      </c>
      <c r="P486" s="614" t="str">
        <f>VLOOKUP(O486,'Centri di Costo'!$A$2:$B$179,2,FALSE)</f>
        <v>Att. Ord. Verona - Gest. Fabbr. e suolo demaniale in concessione</v>
      </c>
      <c r="Q486" s="623" t="s">
        <v>1999</v>
      </c>
      <c r="R486" s="642" t="s">
        <v>99</v>
      </c>
    </row>
    <row r="487" spans="1:18" ht="28.5" customHeight="1" outlineLevel="2">
      <c r="A487" s="85" t="s">
        <v>588</v>
      </c>
      <c r="B487" s="402" t="s">
        <v>1866</v>
      </c>
      <c r="C487" s="85" t="s">
        <v>599</v>
      </c>
      <c r="D487" s="148" t="s">
        <v>7</v>
      </c>
      <c r="E487" s="87">
        <v>2018</v>
      </c>
      <c r="F487" s="88">
        <v>209</v>
      </c>
      <c r="G487" s="120" t="s">
        <v>672</v>
      </c>
      <c r="H487" s="581" t="s">
        <v>673</v>
      </c>
      <c r="I487" s="601">
        <v>7000</v>
      </c>
      <c r="J487" s="595" t="s">
        <v>36</v>
      </c>
      <c r="K487" s="91">
        <v>1</v>
      </c>
      <c r="L487" s="91">
        <v>3</v>
      </c>
      <c r="M487" s="92">
        <v>49</v>
      </c>
      <c r="N487" s="119" t="str">
        <f>VLOOKUP(M487,'PF Uscite Sp. Corr.'!$C$1:$E$100,2,FALSE)</f>
        <v>Manutenzione ordinaria e riparazioni</v>
      </c>
      <c r="O487" s="131">
        <v>1528</v>
      </c>
      <c r="P487" s="614" t="str">
        <f>VLOOKUP(O487,'Centri di Costo'!$A$2:$B$179,2,FALSE)</f>
        <v>Att. Ord. Verona - Spese Generali</v>
      </c>
      <c r="Q487" s="623" t="s">
        <v>1999</v>
      </c>
      <c r="R487" s="642" t="s">
        <v>109</v>
      </c>
    </row>
    <row r="488" spans="1:18" ht="28.5" customHeight="1" outlineLevel="2">
      <c r="A488" s="85" t="s">
        <v>588</v>
      </c>
      <c r="B488" s="402" t="s">
        <v>1866</v>
      </c>
      <c r="C488" s="85" t="s">
        <v>599</v>
      </c>
      <c r="D488" s="148" t="s">
        <v>7</v>
      </c>
      <c r="E488" s="87">
        <v>2018</v>
      </c>
      <c r="F488" s="88">
        <v>209</v>
      </c>
      <c r="G488" s="120" t="s">
        <v>672</v>
      </c>
      <c r="H488" s="581" t="s">
        <v>691</v>
      </c>
      <c r="I488" s="601">
        <v>500</v>
      </c>
      <c r="J488" s="595" t="s">
        <v>36</v>
      </c>
      <c r="K488" s="91">
        <v>1</v>
      </c>
      <c r="L488" s="91">
        <v>3</v>
      </c>
      <c r="M488" s="92">
        <v>49</v>
      </c>
      <c r="N488" s="119" t="str">
        <f>VLOOKUP(M488,'PF Uscite Sp. Corr.'!$C$1:$E$100,2,FALSE)</f>
        <v>Manutenzione ordinaria e riparazioni</v>
      </c>
      <c r="O488" s="131">
        <v>1528</v>
      </c>
      <c r="P488" s="614" t="str">
        <f>VLOOKUP(O488,'Centri di Costo'!$A$2:$B$179,2,FALSE)</f>
        <v>Att. Ord. Verona - Spese Generali</v>
      </c>
      <c r="Q488" s="623" t="s">
        <v>1999</v>
      </c>
      <c r="R488" s="642" t="s">
        <v>412</v>
      </c>
    </row>
    <row r="489" spans="1:18" ht="28.5" customHeight="1" outlineLevel="2">
      <c r="A489" s="85" t="s">
        <v>588</v>
      </c>
      <c r="B489" s="402" t="s">
        <v>1866</v>
      </c>
      <c r="C489" s="85" t="s">
        <v>599</v>
      </c>
      <c r="D489" s="148" t="s">
        <v>7</v>
      </c>
      <c r="E489" s="87">
        <v>2018</v>
      </c>
      <c r="F489" s="88">
        <v>209</v>
      </c>
      <c r="G489" s="120" t="s">
        <v>672</v>
      </c>
      <c r="H489" s="581" t="s">
        <v>621</v>
      </c>
      <c r="I489" s="601">
        <v>2000</v>
      </c>
      <c r="J489" s="595" t="s">
        <v>36</v>
      </c>
      <c r="K489" s="91">
        <v>1</v>
      </c>
      <c r="L489" s="91">
        <v>3</v>
      </c>
      <c r="M489" s="92">
        <v>49</v>
      </c>
      <c r="N489" s="119" t="str">
        <f>VLOOKUP(M489,'PF Uscite Sp. Corr.'!$C$1:$E$100,2,FALSE)</f>
        <v>Manutenzione ordinaria e riparazioni</v>
      </c>
      <c r="O489" s="131">
        <v>1528</v>
      </c>
      <c r="P489" s="614" t="str">
        <f>VLOOKUP(O489,'Centri di Costo'!$A$2:$B$179,2,FALSE)</f>
        <v>Att. Ord. Verona - Spese Generali</v>
      </c>
      <c r="Q489" s="623" t="s">
        <v>1999</v>
      </c>
      <c r="R489" s="642" t="s">
        <v>93</v>
      </c>
    </row>
    <row r="490" spans="1:18" ht="28.5" customHeight="1" outlineLevel="2">
      <c r="A490" s="85" t="s">
        <v>588</v>
      </c>
      <c r="B490" s="402" t="s">
        <v>1866</v>
      </c>
      <c r="C490" s="85" t="s">
        <v>599</v>
      </c>
      <c r="D490" s="148" t="s">
        <v>7</v>
      </c>
      <c r="E490" s="87">
        <v>2018</v>
      </c>
      <c r="F490" s="88">
        <v>209</v>
      </c>
      <c r="G490" s="120" t="s">
        <v>672</v>
      </c>
      <c r="H490" s="581" t="s">
        <v>696</v>
      </c>
      <c r="I490" s="601">
        <v>700</v>
      </c>
      <c r="J490" s="595" t="s">
        <v>36</v>
      </c>
      <c r="K490" s="91">
        <v>1</v>
      </c>
      <c r="L490" s="91">
        <v>3</v>
      </c>
      <c r="M490" s="92">
        <v>49</v>
      </c>
      <c r="N490" s="119" t="str">
        <f>VLOOKUP(M490,'PF Uscite Sp. Corr.'!$C$1:$E$100,2,FALSE)</f>
        <v>Manutenzione ordinaria e riparazioni</v>
      </c>
      <c r="O490" s="131">
        <v>1528</v>
      </c>
      <c r="P490" s="614" t="str">
        <f>VLOOKUP(O490,'Centri di Costo'!$A$2:$B$179,2,FALSE)</f>
        <v>Att. Ord. Verona - Spese Generali</v>
      </c>
      <c r="Q490" s="623" t="s">
        <v>1999</v>
      </c>
      <c r="R490" s="642" t="s">
        <v>647</v>
      </c>
    </row>
    <row r="491" spans="1:18" ht="28.5" customHeight="1" outlineLevel="2">
      <c r="A491" s="85" t="s">
        <v>588</v>
      </c>
      <c r="B491" s="402" t="s">
        <v>1866</v>
      </c>
      <c r="C491" s="85" t="s">
        <v>599</v>
      </c>
      <c r="D491" s="148" t="s">
        <v>7</v>
      </c>
      <c r="E491" s="87">
        <v>2018</v>
      </c>
      <c r="F491" s="88">
        <v>209</v>
      </c>
      <c r="G491" s="120" t="s">
        <v>672</v>
      </c>
      <c r="H491" s="581" t="s">
        <v>680</v>
      </c>
      <c r="I491" s="601">
        <v>4000</v>
      </c>
      <c r="J491" s="595" t="s">
        <v>36</v>
      </c>
      <c r="K491" s="91">
        <v>1</v>
      </c>
      <c r="L491" s="91">
        <v>3</v>
      </c>
      <c r="M491" s="92">
        <v>51</v>
      </c>
      <c r="N491" s="119" t="str">
        <f>VLOOKUP(M491,'PF Uscite Sp. Corr.'!$C$1:$E$100,2,FALSE)</f>
        <v>Prestazioni professionali e specialistiche</v>
      </c>
      <c r="O491" s="131">
        <v>1528</v>
      </c>
      <c r="P491" s="614" t="str">
        <f>VLOOKUP(O491,'Centri di Costo'!$A$2:$B$179,2,FALSE)</f>
        <v>Att. Ord. Verona - Spese Generali</v>
      </c>
      <c r="Q491" s="619" t="s">
        <v>2029</v>
      </c>
      <c r="R491" s="642" t="s">
        <v>414</v>
      </c>
    </row>
    <row r="492" spans="1:18" ht="28.5" customHeight="1" outlineLevel="2">
      <c r="A492" s="85" t="s">
        <v>588</v>
      </c>
      <c r="B492" s="402" t="s">
        <v>1866</v>
      </c>
      <c r="C492" s="85" t="s">
        <v>599</v>
      </c>
      <c r="D492" s="148" t="s">
        <v>7</v>
      </c>
      <c r="E492" s="87">
        <v>2018</v>
      </c>
      <c r="F492" s="88">
        <v>209</v>
      </c>
      <c r="G492" s="120" t="s">
        <v>672</v>
      </c>
      <c r="H492" s="581" t="s">
        <v>690</v>
      </c>
      <c r="I492" s="601">
        <f>25000-10000</f>
        <v>15000</v>
      </c>
      <c r="J492" s="595" t="s">
        <v>36</v>
      </c>
      <c r="K492" s="91">
        <v>1</v>
      </c>
      <c r="L492" s="91">
        <v>3</v>
      </c>
      <c r="M492" s="92">
        <v>51</v>
      </c>
      <c r="N492" s="119" t="str">
        <f>VLOOKUP(M492,'PF Uscite Sp. Corr.'!$C$1:$E$100,2,FALSE)</f>
        <v>Prestazioni professionali e specialistiche</v>
      </c>
      <c r="O492" s="131">
        <v>1528</v>
      </c>
      <c r="P492" s="614" t="str">
        <f>VLOOKUP(O492,'Centri di Costo'!$A$2:$B$179,2,FALSE)</f>
        <v>Att. Ord. Verona - Spese Generali</v>
      </c>
      <c r="Q492" s="623" t="s">
        <v>1999</v>
      </c>
      <c r="R492" s="642" t="s">
        <v>82</v>
      </c>
    </row>
    <row r="493" spans="1:18" ht="28.5" customHeight="1" outlineLevel="2">
      <c r="A493" s="85" t="s">
        <v>588</v>
      </c>
      <c r="B493" s="402" t="s">
        <v>1866</v>
      </c>
      <c r="C493" s="85" t="s">
        <v>599</v>
      </c>
      <c r="D493" s="148" t="s">
        <v>7</v>
      </c>
      <c r="E493" s="87">
        <v>2018</v>
      </c>
      <c r="F493" s="88">
        <v>158</v>
      </c>
      <c r="G493" s="120" t="s">
        <v>664</v>
      </c>
      <c r="H493" s="581" t="s">
        <v>371</v>
      </c>
      <c r="I493" s="601">
        <v>1000</v>
      </c>
      <c r="J493" s="595" t="s">
        <v>36</v>
      </c>
      <c r="K493" s="91">
        <v>1</v>
      </c>
      <c r="L493" s="91">
        <v>3</v>
      </c>
      <c r="M493" s="92">
        <v>53</v>
      </c>
      <c r="N493" s="119" t="str">
        <f>VLOOKUP(M493,'PF Uscite Sp. Corr.'!$C$1:$E$100,2,FALSE)</f>
        <v>Servizi ausiliari per il funzionamento dell'ente</v>
      </c>
      <c r="O493" s="131">
        <v>1522</v>
      </c>
      <c r="P493" s="614" t="str">
        <f>VLOOKUP(O493,'Centri di Costo'!$A$2:$B$179,2,FALSE)</f>
        <v>Att. Ord. Verona - Manutenz. Ambientali</v>
      </c>
      <c r="Q493" s="623" t="s">
        <v>1999</v>
      </c>
      <c r="R493" s="642" t="s">
        <v>667</v>
      </c>
    </row>
    <row r="494" spans="1:18" ht="28.5" customHeight="1" outlineLevel="2">
      <c r="A494" s="85" t="s">
        <v>588</v>
      </c>
      <c r="B494" s="402" t="s">
        <v>1866</v>
      </c>
      <c r="C494" s="85" t="s">
        <v>599</v>
      </c>
      <c r="D494" s="148" t="s">
        <v>7</v>
      </c>
      <c r="E494" s="87">
        <v>2018</v>
      </c>
      <c r="F494" s="88">
        <v>209</v>
      </c>
      <c r="G494" s="120" t="s">
        <v>672</v>
      </c>
      <c r="H494" s="581" t="s">
        <v>675</v>
      </c>
      <c r="I494" s="601">
        <v>700</v>
      </c>
      <c r="J494" s="595" t="s">
        <v>36</v>
      </c>
      <c r="K494" s="91">
        <v>1</v>
      </c>
      <c r="L494" s="91">
        <v>3</v>
      </c>
      <c r="M494" s="92">
        <v>53</v>
      </c>
      <c r="N494" s="119" t="str">
        <f>VLOOKUP(M494,'PF Uscite Sp. Corr.'!$C$1:$E$100,2,FALSE)</f>
        <v>Servizi ausiliari per il funzionamento dell'ente</v>
      </c>
      <c r="O494" s="131">
        <v>1528</v>
      </c>
      <c r="P494" s="614" t="str">
        <f>VLOOKUP(O494,'Centri di Costo'!$A$2:$B$179,2,FALSE)</f>
        <v>Att. Ord. Verona - Spese Generali</v>
      </c>
      <c r="Q494" s="623" t="s">
        <v>1999</v>
      </c>
      <c r="R494" s="642" t="s">
        <v>54</v>
      </c>
    </row>
    <row r="495" spans="1:18" ht="28.5" customHeight="1" outlineLevel="2">
      <c r="A495" s="85" t="s">
        <v>588</v>
      </c>
      <c r="B495" s="402" t="s">
        <v>1866</v>
      </c>
      <c r="C495" s="85" t="s">
        <v>599</v>
      </c>
      <c r="D495" s="148" t="s">
        <v>7</v>
      </c>
      <c r="E495" s="87">
        <v>2018</v>
      </c>
      <c r="F495" s="88">
        <v>209</v>
      </c>
      <c r="G495" s="120" t="s">
        <v>672</v>
      </c>
      <c r="H495" s="581" t="s">
        <v>676</v>
      </c>
      <c r="I495" s="601">
        <v>5300</v>
      </c>
      <c r="J495" s="595" t="s">
        <v>36</v>
      </c>
      <c r="K495" s="91">
        <v>1</v>
      </c>
      <c r="L495" s="91">
        <v>3</v>
      </c>
      <c r="M495" s="92">
        <v>53</v>
      </c>
      <c r="N495" s="119" t="str">
        <f>VLOOKUP(M495,'PF Uscite Sp. Corr.'!$C$1:$E$100,2,FALSE)</f>
        <v>Servizi ausiliari per il funzionamento dell'ente</v>
      </c>
      <c r="O495" s="131">
        <v>1528</v>
      </c>
      <c r="P495" s="614" t="str">
        <f>VLOOKUP(O495,'Centri di Costo'!$A$2:$B$179,2,FALSE)</f>
        <v>Att. Ord. Verona - Spese Generali</v>
      </c>
      <c r="Q495" s="623" t="s">
        <v>1999</v>
      </c>
      <c r="R495" s="642" t="s">
        <v>88</v>
      </c>
    </row>
    <row r="496" spans="1:18" ht="28.5" customHeight="1" outlineLevel="2">
      <c r="A496" s="85" t="s">
        <v>588</v>
      </c>
      <c r="B496" s="402" t="s">
        <v>1866</v>
      </c>
      <c r="C496" s="85" t="s">
        <v>599</v>
      </c>
      <c r="D496" s="148" t="s">
        <v>7</v>
      </c>
      <c r="E496" s="87">
        <v>2018</v>
      </c>
      <c r="F496" s="88">
        <v>209</v>
      </c>
      <c r="G496" s="120" t="s">
        <v>672</v>
      </c>
      <c r="H496" s="581" t="s">
        <v>351</v>
      </c>
      <c r="I496" s="601">
        <v>100</v>
      </c>
      <c r="J496" s="595" t="s">
        <v>36</v>
      </c>
      <c r="K496" s="91">
        <v>1</v>
      </c>
      <c r="L496" s="91">
        <v>3</v>
      </c>
      <c r="M496" s="92">
        <v>55</v>
      </c>
      <c r="N496" s="119" t="str">
        <f>VLOOKUP(M496,'PF Uscite Sp. Corr.'!$C$1:$E$100,2,FALSE)</f>
        <v>Altri servizi</v>
      </c>
      <c r="O496" s="131">
        <v>1528</v>
      </c>
      <c r="P496" s="614" t="str">
        <f>VLOOKUP(O496,'Centri di Costo'!$A$2:$B$179,2,FALSE)</f>
        <v>Att. Ord. Verona - Spese Generali</v>
      </c>
      <c r="Q496" s="623" t="s">
        <v>1999</v>
      </c>
      <c r="R496" s="642" t="s">
        <v>239</v>
      </c>
    </row>
    <row r="497" spans="1:18" ht="28.5" customHeight="1" outlineLevel="2">
      <c r="A497" s="85" t="s">
        <v>588</v>
      </c>
      <c r="B497" s="402" t="s">
        <v>1866</v>
      </c>
      <c r="C497" s="85" t="s">
        <v>599</v>
      </c>
      <c r="D497" s="148" t="s">
        <v>7</v>
      </c>
      <c r="E497" s="87">
        <v>2018</v>
      </c>
      <c r="F497" s="88">
        <v>209</v>
      </c>
      <c r="G497" s="120" t="s">
        <v>672</v>
      </c>
      <c r="H497" s="581" t="s">
        <v>172</v>
      </c>
      <c r="I497" s="601">
        <v>550</v>
      </c>
      <c r="J497" s="595" t="s">
        <v>36</v>
      </c>
      <c r="K497" s="91">
        <v>1</v>
      </c>
      <c r="L497" s="91">
        <v>3</v>
      </c>
      <c r="M497" s="92">
        <v>56</v>
      </c>
      <c r="N497" s="119" t="str">
        <f>VLOOKUP(M497,'PF Uscite Sp. Corr.'!$C$1:$E$100,2,FALSE)</f>
        <v>Servizi amministrativi</v>
      </c>
      <c r="O497" s="131">
        <v>1528</v>
      </c>
      <c r="P497" s="614" t="str">
        <f>VLOOKUP(O497,'Centri di Costo'!$A$2:$B$179,2,FALSE)</f>
        <v>Att. Ord. Verona - Spese Generali</v>
      </c>
      <c r="Q497" s="623" t="s">
        <v>1999</v>
      </c>
      <c r="R497" s="642" t="s">
        <v>173</v>
      </c>
    </row>
    <row r="498" spans="1:18" ht="28.5" customHeight="1" outlineLevel="2">
      <c r="A498" s="85" t="s">
        <v>588</v>
      </c>
      <c r="B498" s="402" t="s">
        <v>1866</v>
      </c>
      <c r="C498" s="85" t="s">
        <v>599</v>
      </c>
      <c r="D498" s="148" t="s">
        <v>7</v>
      </c>
      <c r="E498" s="87">
        <v>2018</v>
      </c>
      <c r="F498" s="88">
        <v>209</v>
      </c>
      <c r="G498" s="120" t="s">
        <v>672</v>
      </c>
      <c r="H498" s="581" t="s">
        <v>677</v>
      </c>
      <c r="I498" s="601">
        <v>160</v>
      </c>
      <c r="J498" s="595" t="s">
        <v>36</v>
      </c>
      <c r="K498" s="91">
        <v>1</v>
      </c>
      <c r="L498" s="91">
        <v>3</v>
      </c>
      <c r="M498" s="92">
        <v>57</v>
      </c>
      <c r="N498" s="119" t="str">
        <f>VLOOKUP(M498,'PF Uscite Sp. Corr.'!$C$1:$E$100,2,FALSE)</f>
        <v>Servizi finanziari</v>
      </c>
      <c r="O498" s="131">
        <v>1528</v>
      </c>
      <c r="P498" s="614" t="str">
        <f>VLOOKUP(O498,'Centri di Costo'!$A$2:$B$179,2,FALSE)</f>
        <v>Att. Ord. Verona - Spese Generali</v>
      </c>
      <c r="Q498" s="623" t="s">
        <v>1999</v>
      </c>
      <c r="R498" s="642" t="s">
        <v>350</v>
      </c>
    </row>
    <row r="499" spans="1:18" ht="28.5" customHeight="1" outlineLevel="2">
      <c r="A499" s="85" t="s">
        <v>89</v>
      </c>
      <c r="B499" s="402" t="s">
        <v>1866</v>
      </c>
      <c r="C499" s="85" t="s">
        <v>150</v>
      </c>
      <c r="D499" s="148" t="s">
        <v>7</v>
      </c>
      <c r="E499" s="87">
        <v>2018</v>
      </c>
      <c r="F499" s="88">
        <v>133</v>
      </c>
      <c r="G499" s="120" t="s">
        <v>200</v>
      </c>
      <c r="H499" s="581" t="s">
        <v>203</v>
      </c>
      <c r="I499" s="601">
        <v>1000</v>
      </c>
      <c r="J499" s="595" t="s">
        <v>36</v>
      </c>
      <c r="K499" s="91">
        <v>1</v>
      </c>
      <c r="L499" s="91">
        <v>3</v>
      </c>
      <c r="M499" s="92">
        <v>59</v>
      </c>
      <c r="N499" s="119" t="str">
        <f>VLOOKUP(M499,'PF Uscite Sp. Corr.'!$C$1:$E$100,2,FALSE)</f>
        <v>Servizi informatici e di telecomunicazioni</v>
      </c>
      <c r="O499" s="131">
        <v>1528</v>
      </c>
      <c r="P499" s="614" t="str">
        <f>VLOOKUP(O499,'Centri di Costo'!$A$2:$B$179,2,FALSE)</f>
        <v>Att. Ord. Verona - Spese Generali</v>
      </c>
      <c r="Q499" s="624" t="s">
        <v>2014</v>
      </c>
      <c r="R499" s="642" t="s">
        <v>202</v>
      </c>
    </row>
    <row r="500" spans="1:18" ht="28.5" customHeight="1" outlineLevel="2">
      <c r="A500" s="85" t="s">
        <v>588</v>
      </c>
      <c r="B500" s="402" t="s">
        <v>1866</v>
      </c>
      <c r="C500" s="85" t="s">
        <v>599</v>
      </c>
      <c r="D500" s="148" t="s">
        <v>7</v>
      </c>
      <c r="E500" s="87">
        <v>2018</v>
      </c>
      <c r="F500" s="88">
        <v>157</v>
      </c>
      <c r="G500" s="120" t="s">
        <v>660</v>
      </c>
      <c r="H500" s="581" t="s">
        <v>661</v>
      </c>
      <c r="I500" s="601">
        <v>1000</v>
      </c>
      <c r="J500" s="595" t="s">
        <v>36</v>
      </c>
      <c r="K500" s="91">
        <v>1</v>
      </c>
      <c r="L500" s="91">
        <v>10</v>
      </c>
      <c r="M500" s="92">
        <v>85</v>
      </c>
      <c r="N500" s="119" t="str">
        <f>VLOOKUP(M500,'PF Uscite Sp. Corr.'!$C$1:$E$100,2,FALSE)</f>
        <v>F.do Utilizzazioni Boschive LRV 52/1978 (solo Miss 9.5)</v>
      </c>
      <c r="O500" s="131">
        <v>1521</v>
      </c>
      <c r="P500" s="614" t="str">
        <f>VLOOKUP(O500,'Centri di Costo'!$A$2:$B$179,2,FALSE)</f>
        <v>Att. Ord. Verona - Att. Selvicolturali sul demanio</v>
      </c>
      <c r="Q500" s="623" t="s">
        <v>1999</v>
      </c>
      <c r="R500" s="642" t="s">
        <v>604</v>
      </c>
    </row>
    <row r="501" spans="1:18" ht="28.5" customHeight="1" outlineLevel="2">
      <c r="A501" s="85" t="s">
        <v>588</v>
      </c>
      <c r="B501" s="402" t="s">
        <v>1866</v>
      </c>
      <c r="C501" s="85" t="s">
        <v>599</v>
      </c>
      <c r="D501" s="148" t="s">
        <v>7</v>
      </c>
      <c r="E501" s="87">
        <v>2018</v>
      </c>
      <c r="F501" s="88">
        <v>209</v>
      </c>
      <c r="G501" s="120" t="s">
        <v>672</v>
      </c>
      <c r="H501" s="581" t="s">
        <v>679</v>
      </c>
      <c r="I501" s="601">
        <v>2300</v>
      </c>
      <c r="J501" s="595" t="s">
        <v>36</v>
      </c>
      <c r="K501" s="91">
        <v>1</v>
      </c>
      <c r="L501" s="91">
        <v>10</v>
      </c>
      <c r="M501" s="92">
        <v>86</v>
      </c>
      <c r="N501" s="119" t="str">
        <f>VLOOKUP(M501,'PF Uscite Sp. Corr.'!$C$1:$E$100,2,FALSE)</f>
        <v>Premi di assicurazione contro i danni</v>
      </c>
      <c r="O501" s="131">
        <v>1528</v>
      </c>
      <c r="P501" s="614" t="str">
        <f>VLOOKUP(O501,'Centri di Costo'!$A$2:$B$179,2,FALSE)</f>
        <v>Att. Ord. Verona - Spese Generali</v>
      </c>
      <c r="Q501" s="624" t="s">
        <v>2014</v>
      </c>
      <c r="R501" s="642" t="s">
        <v>56</v>
      </c>
    </row>
    <row r="502" spans="1:18" s="139" customFormat="1" ht="28.5" customHeight="1" outlineLevel="2">
      <c r="A502" s="115" t="s">
        <v>588</v>
      </c>
      <c r="B502" s="404" t="s">
        <v>1866</v>
      </c>
      <c r="C502" s="115" t="s">
        <v>599</v>
      </c>
      <c r="D502" s="417" t="s">
        <v>7</v>
      </c>
      <c r="E502" s="412">
        <v>2018</v>
      </c>
      <c r="F502" s="413">
        <v>209</v>
      </c>
      <c r="G502" s="123" t="s">
        <v>672</v>
      </c>
      <c r="H502" s="583" t="s">
        <v>692</v>
      </c>
      <c r="I502" s="603">
        <v>5300</v>
      </c>
      <c r="J502" s="596" t="s">
        <v>36</v>
      </c>
      <c r="K502" s="216">
        <v>1</v>
      </c>
      <c r="L502" s="216">
        <v>10</v>
      </c>
      <c r="M502" s="418">
        <v>86</v>
      </c>
      <c r="N502" s="118" t="str">
        <f>VLOOKUP(M502,'PF Uscite Sp. Corr.'!$C$1:$E$100,2,FALSE)</f>
        <v>Premi di assicurazione contro i danni</v>
      </c>
      <c r="O502" s="419">
        <v>1528</v>
      </c>
      <c r="P502" s="615" t="str">
        <f>VLOOKUP(O502,'Centri di Costo'!$A$2:$B$179,2,FALSE)</f>
        <v>Att. Ord. Verona - Spese Generali</v>
      </c>
      <c r="Q502" s="624" t="s">
        <v>2014</v>
      </c>
      <c r="R502" s="648" t="s">
        <v>59</v>
      </c>
    </row>
    <row r="503" spans="1:18" s="215" customFormat="1" ht="20.25" customHeight="1" outlineLevel="1" collapsed="1">
      <c r="A503" s="160"/>
      <c r="B503" s="433" t="s">
        <v>1901</v>
      </c>
      <c r="C503" s="161"/>
      <c r="D503" s="437"/>
      <c r="E503" s="438"/>
      <c r="F503" s="438"/>
      <c r="G503" s="441" t="s">
        <v>1938</v>
      </c>
      <c r="H503" s="214" t="s">
        <v>1947</v>
      </c>
      <c r="I503" s="605">
        <f>SUBTOTAL(9,I456:I502)</f>
        <v>447528</v>
      </c>
      <c r="J503" s="212"/>
      <c r="K503" s="179"/>
      <c r="L503" s="179"/>
      <c r="M503" s="213"/>
      <c r="N503" s="434"/>
      <c r="O503" s="439"/>
      <c r="P503" s="435"/>
      <c r="Q503" s="620"/>
      <c r="R503" s="645"/>
    </row>
    <row r="504" spans="1:18" ht="28.5" customHeight="1" outlineLevel="2">
      <c r="A504" s="94" t="s">
        <v>588</v>
      </c>
      <c r="B504" s="402" t="s">
        <v>1867</v>
      </c>
      <c r="C504" s="94" t="s">
        <v>599</v>
      </c>
      <c r="D504" s="149" t="s">
        <v>7</v>
      </c>
      <c r="E504" s="101">
        <v>2018</v>
      </c>
      <c r="F504" s="102">
        <v>231</v>
      </c>
      <c r="G504" s="121" t="s">
        <v>697</v>
      </c>
      <c r="H504" s="580" t="s">
        <v>698</v>
      </c>
      <c r="I504" s="600">
        <v>6000</v>
      </c>
      <c r="J504" s="594" t="s">
        <v>36</v>
      </c>
      <c r="K504" s="99">
        <v>1</v>
      </c>
      <c r="L504" s="99">
        <v>3</v>
      </c>
      <c r="M504" s="113">
        <v>51</v>
      </c>
      <c r="N504" s="128" t="str">
        <f>VLOOKUP(M504,'PF Uscite Sp. Corr.'!$C$1:$E$100,2,FALSE)</f>
        <v>Prestazioni professionali e specialistiche</v>
      </c>
      <c r="O504" s="132">
        <v>1590</v>
      </c>
      <c r="P504" s="613" t="str">
        <f>VLOOKUP(O504,'Centri di Costo'!$A$2:$B$179,2,FALSE)</f>
        <v>Settore Att. Forestali - Att. Ord. in carico al Settore</v>
      </c>
      <c r="Q504" s="623" t="s">
        <v>1999</v>
      </c>
      <c r="R504" s="639" t="s">
        <v>592</v>
      </c>
    </row>
    <row r="505" spans="1:18" ht="38.25" customHeight="1" outlineLevel="2">
      <c r="A505" s="85" t="s">
        <v>588</v>
      </c>
      <c r="B505" s="402" t="s">
        <v>1867</v>
      </c>
      <c r="C505" s="85" t="s">
        <v>599</v>
      </c>
      <c r="D505" s="508" t="s">
        <v>561</v>
      </c>
      <c r="E505" s="87">
        <v>2018</v>
      </c>
      <c r="F505" s="88">
        <v>273</v>
      </c>
      <c r="G505" s="120" t="s">
        <v>734</v>
      </c>
      <c r="H505" s="581" t="s">
        <v>735</v>
      </c>
      <c r="I505" s="601">
        <v>2000</v>
      </c>
      <c r="J505" s="595" t="s">
        <v>36</v>
      </c>
      <c r="K505" s="91">
        <v>1</v>
      </c>
      <c r="L505" s="91">
        <v>3</v>
      </c>
      <c r="M505" s="92">
        <v>53</v>
      </c>
      <c r="N505" s="119" t="str">
        <f>VLOOKUP(M505,'PF Uscite Sp. Corr.'!$C$1:$E$100,2,FALSE)</f>
        <v>Servizi ausiliari per il funzionamento dell'ente</v>
      </c>
      <c r="O505" s="131">
        <v>1590</v>
      </c>
      <c r="P505" s="614" t="str">
        <f>VLOOKUP(O505,'Centri di Costo'!$A$2:$B$179,2,FALSE)</f>
        <v>Settore Att. Forestali - Att. Ord. in carico al Settore</v>
      </c>
      <c r="Q505" s="623" t="s">
        <v>1999</v>
      </c>
      <c r="R505" s="640" t="s">
        <v>736</v>
      </c>
    </row>
    <row r="506" spans="1:18" ht="38.25" customHeight="1" outlineLevel="2">
      <c r="A506" s="85" t="s">
        <v>588</v>
      </c>
      <c r="B506" s="402" t="s">
        <v>1867</v>
      </c>
      <c r="C506" s="85" t="s">
        <v>599</v>
      </c>
      <c r="D506" s="508" t="s">
        <v>561</v>
      </c>
      <c r="E506" s="87">
        <v>2018</v>
      </c>
      <c r="F506" s="88">
        <v>273</v>
      </c>
      <c r="G506" s="120" t="s">
        <v>734</v>
      </c>
      <c r="H506" s="581" t="s">
        <v>737</v>
      </c>
      <c r="I506" s="601">
        <v>1000</v>
      </c>
      <c r="J506" s="595" t="s">
        <v>36</v>
      </c>
      <c r="K506" s="91">
        <v>1</v>
      </c>
      <c r="L506" s="91">
        <v>3</v>
      </c>
      <c r="M506" s="92">
        <v>55</v>
      </c>
      <c r="N506" s="119" t="str">
        <f>VLOOKUP(M506,'PF Uscite Sp. Corr.'!$C$1:$E$100,2,FALSE)</f>
        <v>Altri servizi</v>
      </c>
      <c r="O506" s="131">
        <v>1590</v>
      </c>
      <c r="P506" s="614" t="str">
        <f>VLOOKUP(O506,'Centri di Costo'!$A$2:$B$179,2,FALSE)</f>
        <v>Settore Att. Forestali - Att. Ord. in carico al Settore</v>
      </c>
      <c r="Q506" s="623" t="s">
        <v>1999</v>
      </c>
      <c r="R506" s="640" t="s">
        <v>239</v>
      </c>
    </row>
    <row r="507" spans="1:18" s="139" customFormat="1" ht="28.5" customHeight="1" outlineLevel="2">
      <c r="A507" s="115" t="s">
        <v>89</v>
      </c>
      <c r="B507" s="404" t="s">
        <v>1867</v>
      </c>
      <c r="C507" s="115" t="s">
        <v>233</v>
      </c>
      <c r="D507" s="417" t="s">
        <v>7</v>
      </c>
      <c r="E507" s="412">
        <v>2018</v>
      </c>
      <c r="F507" s="413">
        <v>274</v>
      </c>
      <c r="G507" s="123" t="s">
        <v>237</v>
      </c>
      <c r="H507" s="583" t="s">
        <v>246</v>
      </c>
      <c r="I507" s="603">
        <v>4000</v>
      </c>
      <c r="J507" s="595" t="s">
        <v>36</v>
      </c>
      <c r="K507" s="216">
        <v>1</v>
      </c>
      <c r="L507" s="216">
        <v>3</v>
      </c>
      <c r="M507" s="418">
        <v>55</v>
      </c>
      <c r="N507" s="118" t="str">
        <f>VLOOKUP(M507,'PF Uscite Sp. Corr.'!$C$1:$E$100,2,FALSE)</f>
        <v>Altri servizi</v>
      </c>
      <c r="O507" s="419">
        <v>1590</v>
      </c>
      <c r="P507" s="615" t="str">
        <f>VLOOKUP(O507,'Centri di Costo'!$A$2:$B$179,2,FALSE)</f>
        <v>Settore Att. Forestali - Att. Ord. in carico al Settore</v>
      </c>
      <c r="Q507" s="623" t="s">
        <v>1999</v>
      </c>
      <c r="R507" s="648" t="s">
        <v>239</v>
      </c>
    </row>
    <row r="508" spans="1:18" s="215" customFormat="1" ht="20.25" customHeight="1" outlineLevel="1" collapsed="1">
      <c r="A508" s="160"/>
      <c r="B508" s="433" t="s">
        <v>1902</v>
      </c>
      <c r="C508" s="161"/>
      <c r="D508" s="437"/>
      <c r="E508" s="438"/>
      <c r="F508" s="438"/>
      <c r="G508" s="441" t="s">
        <v>1938</v>
      </c>
      <c r="H508" s="214" t="s">
        <v>1948</v>
      </c>
      <c r="I508" s="605">
        <f>SUBTOTAL(9,I504:I507)</f>
        <v>13000</v>
      </c>
      <c r="J508" s="212"/>
      <c r="K508" s="179"/>
      <c r="L508" s="179"/>
      <c r="M508" s="213"/>
      <c r="N508" s="434"/>
      <c r="O508" s="439"/>
      <c r="P508" s="435"/>
      <c r="Q508" s="620"/>
      <c r="R508" s="645"/>
    </row>
    <row r="509" spans="1:18" ht="28.5" customHeight="1" outlineLevel="2">
      <c r="A509" s="94" t="s">
        <v>588</v>
      </c>
      <c r="B509" s="402" t="s">
        <v>1868</v>
      </c>
      <c r="C509" s="94" t="s">
        <v>599</v>
      </c>
      <c r="D509" s="149" t="s">
        <v>7</v>
      </c>
      <c r="E509" s="101">
        <v>2018</v>
      </c>
      <c r="F509" s="102">
        <v>121</v>
      </c>
      <c r="G509" s="121" t="s">
        <v>699</v>
      </c>
      <c r="H509" s="580" t="s">
        <v>1102</v>
      </c>
      <c r="I509" s="600">
        <v>93500</v>
      </c>
      <c r="J509" s="594" t="s">
        <v>36</v>
      </c>
      <c r="K509" s="99">
        <v>1</v>
      </c>
      <c r="L509" s="99">
        <v>1</v>
      </c>
      <c r="M509" s="209" t="s">
        <v>1532</v>
      </c>
      <c r="N509" s="577" t="str">
        <f>VLOOKUP(M509,'PF Uscite Sp. Corr.'!$C$1:$E$100,2,FALSE)</f>
        <v>Salari, Oneri Sociali, Acc. TFR, Buoni Pasto (e IRAP su retribuz. se dovuta) OTI</v>
      </c>
      <c r="O509" s="132">
        <v>1531</v>
      </c>
      <c r="P509" s="613" t="str">
        <f>VLOOKUP(O509,'Centri di Costo'!$A$2:$B$179,2,FALSE)</f>
        <v>Attività Ord. Vivaistica Montecchio</v>
      </c>
      <c r="Q509" s="621" t="s">
        <v>1998</v>
      </c>
      <c r="R509" s="639" t="s">
        <v>427</v>
      </c>
    </row>
    <row r="510" spans="1:18" ht="28.5" customHeight="1" outlineLevel="2">
      <c r="A510" s="94" t="s">
        <v>588</v>
      </c>
      <c r="B510" s="402" t="s">
        <v>1868</v>
      </c>
      <c r="C510" s="94" t="s">
        <v>599</v>
      </c>
      <c r="D510" s="149" t="s">
        <v>7</v>
      </c>
      <c r="E510" s="101">
        <v>2018</v>
      </c>
      <c r="F510" s="102">
        <v>121</v>
      </c>
      <c r="G510" s="121" t="s">
        <v>699</v>
      </c>
      <c r="H510" s="580" t="s">
        <v>1101</v>
      </c>
      <c r="I510" s="600">
        <f>90540+11705+6203+6707</f>
        <v>115155</v>
      </c>
      <c r="J510" s="594" t="s">
        <v>36</v>
      </c>
      <c r="K510" s="99">
        <v>1</v>
      </c>
      <c r="L510" s="99">
        <v>1</v>
      </c>
      <c r="M510" s="517" t="s">
        <v>1530</v>
      </c>
      <c r="N510" s="577" t="str">
        <f>VLOOKUP(M510,'PF Uscite Sp. Corr.'!$C$1:$E$100,2,FALSE)</f>
        <v>Salari, Oneri Sociali, Acc. TFR, Buoni Pasto (e IRAP su retribuz. se dovuta) OTD</v>
      </c>
      <c r="O510" s="132">
        <v>1531</v>
      </c>
      <c r="P510" s="613" t="str">
        <f>VLOOKUP(O510,'Centri di Costo'!$A$2:$B$179,2,FALSE)</f>
        <v>Attività Ord. Vivaistica Montecchio</v>
      </c>
      <c r="Q510" s="621" t="s">
        <v>1998</v>
      </c>
      <c r="R510" s="639" t="s">
        <v>484</v>
      </c>
    </row>
    <row r="511" spans="1:18" ht="28.5" customHeight="1" outlineLevel="2">
      <c r="A511" s="85" t="s">
        <v>588</v>
      </c>
      <c r="B511" s="402" t="s">
        <v>1868</v>
      </c>
      <c r="C511" s="85" t="s">
        <v>599</v>
      </c>
      <c r="D511" s="148" t="s">
        <v>7</v>
      </c>
      <c r="E511" s="87">
        <v>2018</v>
      </c>
      <c r="F511" s="88">
        <v>126</v>
      </c>
      <c r="G511" s="120" t="s">
        <v>726</v>
      </c>
      <c r="H511" s="581" t="s">
        <v>1103</v>
      </c>
      <c r="I511" s="601">
        <f>28997+3020+1783+1684</f>
        <v>35484</v>
      </c>
      <c r="J511" s="595" t="s">
        <v>36</v>
      </c>
      <c r="K511" s="91">
        <v>1</v>
      </c>
      <c r="L511" s="91">
        <v>1</v>
      </c>
      <c r="M511" s="232" t="s">
        <v>1530</v>
      </c>
      <c r="N511" s="578" t="str">
        <f>VLOOKUP(M511,'PF Uscite Sp. Corr.'!$C$1:$E$100,2,FALSE)</f>
        <v>Salari, Oneri Sociali, Acc. TFR, Buoni Pasto (e IRAP su retribuz. se dovuta) OTD</v>
      </c>
      <c r="O511" s="131">
        <v>1532</v>
      </c>
      <c r="P511" s="614" t="str">
        <f>VLOOKUP(O511,'Centri di Costo'!$A$2:$B$179,2,FALSE)</f>
        <v>Attività ord. Vivaisitca Pian dei Spini</v>
      </c>
      <c r="Q511" s="621" t="s">
        <v>1998</v>
      </c>
      <c r="R511" s="642" t="s">
        <v>484</v>
      </c>
    </row>
    <row r="512" spans="1:18" ht="28.5" customHeight="1" outlineLevel="2">
      <c r="A512" s="85" t="s">
        <v>588</v>
      </c>
      <c r="B512" s="402" t="s">
        <v>1868</v>
      </c>
      <c r="C512" s="85" t="s">
        <v>599</v>
      </c>
      <c r="D512" s="148" t="s">
        <v>7</v>
      </c>
      <c r="E512" s="87">
        <v>2018</v>
      </c>
      <c r="F512" s="88">
        <v>121</v>
      </c>
      <c r="G512" s="120" t="s">
        <v>699</v>
      </c>
      <c r="H512" s="581" t="s">
        <v>708</v>
      </c>
      <c r="I512" s="601">
        <v>150</v>
      </c>
      <c r="J512" s="595" t="s">
        <v>36</v>
      </c>
      <c r="K512" s="91">
        <v>1</v>
      </c>
      <c r="L512" s="91">
        <v>2</v>
      </c>
      <c r="M512" s="92">
        <v>12</v>
      </c>
      <c r="N512" s="119" t="str">
        <f>VLOOKUP(M512,'PF Uscite Sp. Corr.'!$C$1:$E$100,2,FALSE)</f>
        <v>Imposta di registro e di bollo</v>
      </c>
      <c r="O512" s="131">
        <v>1531</v>
      </c>
      <c r="P512" s="614" t="str">
        <f>VLOOKUP(O512,'Centri di Costo'!$A$2:$B$179,2,FALSE)</f>
        <v>Attività Ord. Vivaistica Montecchio</v>
      </c>
      <c r="Q512" s="622" t="s">
        <v>1844</v>
      </c>
      <c r="R512" s="642" t="s">
        <v>47</v>
      </c>
    </row>
    <row r="513" spans="1:18" ht="28.5" customHeight="1" outlineLevel="2">
      <c r="A513" s="85" t="s">
        <v>588</v>
      </c>
      <c r="B513" s="402" t="s">
        <v>1868</v>
      </c>
      <c r="C513" s="85" t="s">
        <v>599</v>
      </c>
      <c r="D513" s="148" t="s">
        <v>7</v>
      </c>
      <c r="E513" s="87">
        <v>2018</v>
      </c>
      <c r="F513" s="88">
        <v>121</v>
      </c>
      <c r="G513" s="120" t="s">
        <v>699</v>
      </c>
      <c r="H513" s="581" t="s">
        <v>710</v>
      </c>
      <c r="I513" s="601">
        <v>450</v>
      </c>
      <c r="J513" s="595" t="s">
        <v>36</v>
      </c>
      <c r="K513" s="91">
        <v>1</v>
      </c>
      <c r="L513" s="91">
        <v>2</v>
      </c>
      <c r="M513" s="92">
        <v>16</v>
      </c>
      <c r="N513" s="119" t="str">
        <f>VLOOKUP(M513,'PF Uscite Sp. Corr.'!$C$1:$E$100,2,FALSE)</f>
        <v>Tassa e/o tariffa smaltimento rifiuti solidi urbani</v>
      </c>
      <c r="O513" s="131">
        <v>1531</v>
      </c>
      <c r="P513" s="614" t="str">
        <f>VLOOKUP(O513,'Centri di Costo'!$A$2:$B$179,2,FALSE)</f>
        <v>Attività Ord. Vivaistica Montecchio</v>
      </c>
      <c r="Q513" s="622" t="s">
        <v>1844</v>
      </c>
      <c r="R513" s="642" t="s">
        <v>71</v>
      </c>
    </row>
    <row r="514" spans="1:18" ht="28.5" customHeight="1" outlineLevel="2">
      <c r="A514" s="85" t="s">
        <v>588</v>
      </c>
      <c r="B514" s="402" t="s">
        <v>1868</v>
      </c>
      <c r="C514" s="85" t="s">
        <v>599</v>
      </c>
      <c r="D514" s="148" t="s">
        <v>7</v>
      </c>
      <c r="E514" s="87">
        <v>2018</v>
      </c>
      <c r="F514" s="88">
        <v>126</v>
      </c>
      <c r="G514" s="120" t="s">
        <v>726</v>
      </c>
      <c r="H514" s="581" t="s">
        <v>732</v>
      </c>
      <c r="I514" s="601">
        <v>350</v>
      </c>
      <c r="J514" s="595" t="s">
        <v>36</v>
      </c>
      <c r="K514" s="91">
        <v>1</v>
      </c>
      <c r="L514" s="91">
        <v>2</v>
      </c>
      <c r="M514" s="92">
        <v>16</v>
      </c>
      <c r="N514" s="119" t="str">
        <f>VLOOKUP(M514,'PF Uscite Sp. Corr.'!$C$1:$E$100,2,FALSE)</f>
        <v>Tassa e/o tariffa smaltimento rifiuti solidi urbani</v>
      </c>
      <c r="O514" s="131">
        <v>1532</v>
      </c>
      <c r="P514" s="614" t="str">
        <f>VLOOKUP(O514,'Centri di Costo'!$A$2:$B$179,2,FALSE)</f>
        <v>Attività ord. Vivaisitca Pian dei Spini</v>
      </c>
      <c r="Q514" s="622" t="s">
        <v>1844</v>
      </c>
      <c r="R514" s="642" t="s">
        <v>71</v>
      </c>
    </row>
    <row r="515" spans="1:18" ht="28.5" customHeight="1" outlineLevel="2">
      <c r="A515" s="85" t="s">
        <v>588</v>
      </c>
      <c r="B515" s="402" t="s">
        <v>1868</v>
      </c>
      <c r="C515" s="85" t="s">
        <v>599</v>
      </c>
      <c r="D515" s="148" t="s">
        <v>7</v>
      </c>
      <c r="E515" s="87">
        <v>2018</v>
      </c>
      <c r="F515" s="88">
        <v>121</v>
      </c>
      <c r="G515" s="120" t="s">
        <v>699</v>
      </c>
      <c r="H515" s="581" t="s">
        <v>706</v>
      </c>
      <c r="I515" s="601">
        <v>850</v>
      </c>
      <c r="J515" s="595" t="s">
        <v>36</v>
      </c>
      <c r="K515" s="91">
        <v>1</v>
      </c>
      <c r="L515" s="91">
        <v>2</v>
      </c>
      <c r="M515" s="92">
        <v>19</v>
      </c>
      <c r="N515" s="119" t="str">
        <f>VLOOKUP(M515,'PF Uscite Sp. Corr.'!$C$1:$E$100,2,FALSE)</f>
        <v>Tassa di circolazione dei veicoli a motore (tassa automobilistica)</v>
      </c>
      <c r="O515" s="131">
        <v>1531</v>
      </c>
      <c r="P515" s="614" t="str">
        <f>VLOOKUP(O515,'Centri di Costo'!$A$2:$B$179,2,FALSE)</f>
        <v>Attività Ord. Vivaistica Montecchio</v>
      </c>
      <c r="Q515" s="622" t="s">
        <v>1844</v>
      </c>
      <c r="R515" s="642" t="s">
        <v>132</v>
      </c>
    </row>
    <row r="516" spans="1:18" ht="28.5" customHeight="1" outlineLevel="2">
      <c r="A516" s="85" t="s">
        <v>588</v>
      </c>
      <c r="B516" s="402" t="s">
        <v>1868</v>
      </c>
      <c r="C516" s="85" t="s">
        <v>599</v>
      </c>
      <c r="D516" s="148" t="s">
        <v>7</v>
      </c>
      <c r="E516" s="87">
        <v>2018</v>
      </c>
      <c r="F516" s="88">
        <v>126</v>
      </c>
      <c r="G516" s="120" t="s">
        <v>726</v>
      </c>
      <c r="H516" s="581" t="s">
        <v>706</v>
      </c>
      <c r="I516" s="601">
        <v>100</v>
      </c>
      <c r="J516" s="595" t="s">
        <v>36</v>
      </c>
      <c r="K516" s="91">
        <v>1</v>
      </c>
      <c r="L516" s="91">
        <v>2</v>
      </c>
      <c r="M516" s="92">
        <v>19</v>
      </c>
      <c r="N516" s="119" t="str">
        <f>VLOOKUP(M516,'PF Uscite Sp. Corr.'!$C$1:$E$100,2,FALSE)</f>
        <v>Tassa di circolazione dei veicoli a motore (tassa automobilistica)</v>
      </c>
      <c r="O516" s="131">
        <v>1532</v>
      </c>
      <c r="P516" s="614" t="str">
        <f>VLOOKUP(O516,'Centri di Costo'!$A$2:$B$179,2,FALSE)</f>
        <v>Attività ord. Vivaisitca Pian dei Spini</v>
      </c>
      <c r="Q516" s="622" t="s">
        <v>1844</v>
      </c>
      <c r="R516" s="642" t="s">
        <v>132</v>
      </c>
    </row>
    <row r="517" spans="1:18" ht="28.5" customHeight="1" outlineLevel="2">
      <c r="A517" s="85" t="s">
        <v>588</v>
      </c>
      <c r="B517" s="402" t="s">
        <v>1868</v>
      </c>
      <c r="C517" s="85" t="s">
        <v>599</v>
      </c>
      <c r="D517" s="148" t="s">
        <v>7</v>
      </c>
      <c r="E517" s="87">
        <v>2018</v>
      </c>
      <c r="F517" s="88">
        <v>121</v>
      </c>
      <c r="G517" s="120" t="s">
        <v>699</v>
      </c>
      <c r="H517" s="581" t="s">
        <v>713</v>
      </c>
      <c r="I517" s="601">
        <v>2600</v>
      </c>
      <c r="J517" s="595" t="s">
        <v>36</v>
      </c>
      <c r="K517" s="91">
        <v>1</v>
      </c>
      <c r="L517" s="91">
        <v>2</v>
      </c>
      <c r="M517" s="92">
        <v>29</v>
      </c>
      <c r="N517" s="119" t="str">
        <f>VLOOKUP(M517,'PF Uscite Sp. Corr.'!$C$1:$E$100,2,FALSE)</f>
        <v>Imposte, tasse e proventi assimilati a carico dell'ente n.a.c.</v>
      </c>
      <c r="O517" s="131">
        <v>1531</v>
      </c>
      <c r="P517" s="614" t="str">
        <f>VLOOKUP(O517,'Centri di Costo'!$A$2:$B$179,2,FALSE)</f>
        <v>Attività Ord. Vivaistica Montecchio</v>
      </c>
      <c r="Q517" s="622" t="s">
        <v>1844</v>
      </c>
      <c r="R517" s="642" t="s">
        <v>49</v>
      </c>
    </row>
    <row r="518" spans="1:18" ht="28.5" customHeight="1" outlineLevel="2">
      <c r="A518" s="85" t="s">
        <v>588</v>
      </c>
      <c r="B518" s="402" t="s">
        <v>1868</v>
      </c>
      <c r="C518" s="85" t="s">
        <v>599</v>
      </c>
      <c r="D518" s="148" t="s">
        <v>7</v>
      </c>
      <c r="E518" s="87">
        <v>2018</v>
      </c>
      <c r="F518" s="88">
        <v>121</v>
      </c>
      <c r="G518" s="120" t="s">
        <v>699</v>
      </c>
      <c r="H518" s="581" t="s">
        <v>705</v>
      </c>
      <c r="I518" s="601">
        <v>500</v>
      </c>
      <c r="J518" s="595" t="s">
        <v>36</v>
      </c>
      <c r="K518" s="91">
        <v>1</v>
      </c>
      <c r="L518" s="91">
        <v>3</v>
      </c>
      <c r="M518" s="92">
        <v>31</v>
      </c>
      <c r="N518" s="119" t="str">
        <f>VLOOKUP(M518,'PF Uscite Sp. Corr.'!$C$1:$E$100,2,FALSE)</f>
        <v>Giornali, riviste e pubblicazioni</v>
      </c>
      <c r="O518" s="131">
        <v>1531</v>
      </c>
      <c r="P518" s="614" t="str">
        <f>VLOOKUP(O518,'Centri di Costo'!$A$2:$B$179,2,FALSE)</f>
        <v>Attività Ord. Vivaistica Montecchio</v>
      </c>
      <c r="Q518" s="623" t="s">
        <v>1999</v>
      </c>
      <c r="R518" s="642" t="s">
        <v>256</v>
      </c>
    </row>
    <row r="519" spans="1:18" ht="28.5" customHeight="1" outlineLevel="2">
      <c r="A519" s="85" t="s">
        <v>588</v>
      </c>
      <c r="B519" s="402" t="s">
        <v>1868</v>
      </c>
      <c r="C519" s="85" t="s">
        <v>599</v>
      </c>
      <c r="D519" s="148" t="s">
        <v>7</v>
      </c>
      <c r="E519" s="87">
        <v>2018</v>
      </c>
      <c r="F519" s="88">
        <v>121</v>
      </c>
      <c r="G519" s="120" t="s">
        <v>699</v>
      </c>
      <c r="H519" s="581" t="s">
        <v>701</v>
      </c>
      <c r="I519" s="601">
        <v>3600</v>
      </c>
      <c r="J519" s="595" t="s">
        <v>36</v>
      </c>
      <c r="K519" s="91">
        <v>1</v>
      </c>
      <c r="L519" s="91">
        <v>3</v>
      </c>
      <c r="M519" s="92">
        <v>32</v>
      </c>
      <c r="N519" s="119" t="str">
        <f>VLOOKUP(M519,'PF Uscite Sp. Corr.'!$C$1:$E$100,2,FALSE)</f>
        <v>Altri beni di consumo</v>
      </c>
      <c r="O519" s="131">
        <v>1531</v>
      </c>
      <c r="P519" s="614" t="str">
        <f>VLOOKUP(O519,'Centri di Costo'!$A$2:$B$179,2,FALSE)</f>
        <v>Attività Ord. Vivaistica Montecchio</v>
      </c>
      <c r="Q519" s="623" t="s">
        <v>1999</v>
      </c>
      <c r="R519" s="642" t="s">
        <v>81</v>
      </c>
    </row>
    <row r="520" spans="1:18" ht="28.5" customHeight="1" outlineLevel="2">
      <c r="A520" s="85" t="s">
        <v>588</v>
      </c>
      <c r="B520" s="402" t="s">
        <v>1868</v>
      </c>
      <c r="C520" s="85" t="s">
        <v>599</v>
      </c>
      <c r="D520" s="148" t="s">
        <v>7</v>
      </c>
      <c r="E520" s="87">
        <v>2018</v>
      </c>
      <c r="F520" s="88">
        <v>121</v>
      </c>
      <c r="G520" s="120" t="s">
        <v>699</v>
      </c>
      <c r="H520" s="581" t="s">
        <v>2019</v>
      </c>
      <c r="I520" s="601">
        <v>10200</v>
      </c>
      <c r="J520" s="595" t="s">
        <v>36</v>
      </c>
      <c r="K520" s="91">
        <v>1</v>
      </c>
      <c r="L520" s="91">
        <v>3</v>
      </c>
      <c r="M520" s="92">
        <v>32</v>
      </c>
      <c r="N520" s="119" t="str">
        <f>VLOOKUP(M520,'PF Uscite Sp. Corr.'!$C$1:$E$100,2,FALSE)</f>
        <v>Altri beni di consumo</v>
      </c>
      <c r="O520" s="131">
        <v>1531</v>
      </c>
      <c r="P520" s="614" t="str">
        <f>VLOOKUP(O520,'Centri di Costo'!$A$2:$B$179,2,FALSE)</f>
        <v>Attività Ord. Vivaistica Montecchio</v>
      </c>
      <c r="Q520" s="623" t="s">
        <v>1999</v>
      </c>
      <c r="R520" s="642" t="s">
        <v>324</v>
      </c>
    </row>
    <row r="521" spans="1:18" ht="28.5" customHeight="1" outlineLevel="2">
      <c r="A521" s="85" t="s">
        <v>588</v>
      </c>
      <c r="B521" s="402" t="s">
        <v>1868</v>
      </c>
      <c r="C521" s="85" t="s">
        <v>599</v>
      </c>
      <c r="D521" s="148" t="s">
        <v>7</v>
      </c>
      <c r="E521" s="87">
        <v>2018</v>
      </c>
      <c r="F521" s="88">
        <v>121</v>
      </c>
      <c r="G521" s="120" t="s">
        <v>699</v>
      </c>
      <c r="H521" s="581" t="s">
        <v>702</v>
      </c>
      <c r="I521" s="601">
        <v>350</v>
      </c>
      <c r="J521" s="595" t="s">
        <v>36</v>
      </c>
      <c r="K521" s="91">
        <v>1</v>
      </c>
      <c r="L521" s="91">
        <v>3</v>
      </c>
      <c r="M521" s="92">
        <v>32</v>
      </c>
      <c r="N521" s="119" t="str">
        <f>VLOOKUP(M521,'PF Uscite Sp. Corr.'!$C$1:$E$100,2,FALSE)</f>
        <v>Altri beni di consumo</v>
      </c>
      <c r="O521" s="131">
        <v>1531</v>
      </c>
      <c r="P521" s="614" t="str">
        <f>VLOOKUP(O521,'Centri di Costo'!$A$2:$B$179,2,FALSE)</f>
        <v>Attività Ord. Vivaistica Montecchio</v>
      </c>
      <c r="Q521" s="623" t="s">
        <v>1999</v>
      </c>
      <c r="R521" s="642" t="s">
        <v>190</v>
      </c>
    </row>
    <row r="522" spans="1:18" ht="28.5" customHeight="1" outlineLevel="2">
      <c r="A522" s="85" t="s">
        <v>588</v>
      </c>
      <c r="B522" s="402" t="s">
        <v>1868</v>
      </c>
      <c r="C522" s="85" t="s">
        <v>599</v>
      </c>
      <c r="D522" s="148" t="s">
        <v>7</v>
      </c>
      <c r="E522" s="87">
        <v>2018</v>
      </c>
      <c r="F522" s="88">
        <v>121</v>
      </c>
      <c r="G522" s="120" t="s">
        <v>699</v>
      </c>
      <c r="H522" s="581" t="s">
        <v>703</v>
      </c>
      <c r="I522" s="601">
        <v>1620</v>
      </c>
      <c r="J522" s="595" t="s">
        <v>36</v>
      </c>
      <c r="K522" s="91">
        <v>1</v>
      </c>
      <c r="L522" s="91">
        <v>3</v>
      </c>
      <c r="M522" s="92">
        <v>32</v>
      </c>
      <c r="N522" s="119" t="str">
        <f>VLOOKUP(M522,'PF Uscite Sp. Corr.'!$C$1:$E$100,2,FALSE)</f>
        <v>Altri beni di consumo</v>
      </c>
      <c r="O522" s="131">
        <v>1531</v>
      </c>
      <c r="P522" s="614" t="str">
        <f>VLOOKUP(O522,'Centri di Costo'!$A$2:$B$179,2,FALSE)</f>
        <v>Attività Ord. Vivaistica Montecchio</v>
      </c>
      <c r="Q522" s="623" t="s">
        <v>1999</v>
      </c>
      <c r="R522" s="642" t="s">
        <v>499</v>
      </c>
    </row>
    <row r="523" spans="1:18" ht="28.5" customHeight="1" outlineLevel="2">
      <c r="A523" s="85" t="s">
        <v>588</v>
      </c>
      <c r="B523" s="402" t="s">
        <v>1868</v>
      </c>
      <c r="C523" s="85" t="s">
        <v>599</v>
      </c>
      <c r="D523" s="148" t="s">
        <v>7</v>
      </c>
      <c r="E523" s="87">
        <v>2018</v>
      </c>
      <c r="F523" s="88">
        <v>121</v>
      </c>
      <c r="G523" s="120" t="s">
        <v>699</v>
      </c>
      <c r="H523" s="581" t="s">
        <v>704</v>
      </c>
      <c r="I523" s="601">
        <v>6600</v>
      </c>
      <c r="J523" s="595" t="s">
        <v>36</v>
      </c>
      <c r="K523" s="91">
        <v>1</v>
      </c>
      <c r="L523" s="91">
        <v>3</v>
      </c>
      <c r="M523" s="92">
        <v>32</v>
      </c>
      <c r="N523" s="119" t="str">
        <f>VLOOKUP(M523,'PF Uscite Sp. Corr.'!$C$1:$E$100,2,FALSE)</f>
        <v>Altri beni di consumo</v>
      </c>
      <c r="O523" s="131">
        <v>1531</v>
      </c>
      <c r="P523" s="614" t="str">
        <f>VLOOKUP(O523,'Centri di Costo'!$A$2:$B$179,2,FALSE)</f>
        <v>Attività Ord. Vivaistica Montecchio</v>
      </c>
      <c r="Q523" s="623" t="s">
        <v>1999</v>
      </c>
      <c r="R523" s="642" t="s">
        <v>73</v>
      </c>
    </row>
    <row r="524" spans="1:18" ht="28.5" customHeight="1" outlineLevel="2">
      <c r="A524" s="85" t="s">
        <v>588</v>
      </c>
      <c r="B524" s="402" t="s">
        <v>1868</v>
      </c>
      <c r="C524" s="85" t="s">
        <v>599</v>
      </c>
      <c r="D524" s="148" t="s">
        <v>7</v>
      </c>
      <c r="E524" s="87">
        <v>2018</v>
      </c>
      <c r="F524" s="88">
        <v>121</v>
      </c>
      <c r="G524" s="120" t="s">
        <v>699</v>
      </c>
      <c r="H524" s="581" t="s">
        <v>709</v>
      </c>
      <c r="I524" s="601">
        <v>1100</v>
      </c>
      <c r="J524" s="595" t="s">
        <v>36</v>
      </c>
      <c r="K524" s="91">
        <v>1</v>
      </c>
      <c r="L524" s="91">
        <v>3</v>
      </c>
      <c r="M524" s="92">
        <v>32</v>
      </c>
      <c r="N524" s="119" t="str">
        <f>VLOOKUP(M524,'PF Uscite Sp. Corr.'!$C$1:$E$100,2,FALSE)</f>
        <v>Altri beni di consumo</v>
      </c>
      <c r="O524" s="131">
        <v>1531</v>
      </c>
      <c r="P524" s="614" t="str">
        <f>VLOOKUP(O524,'Centri di Costo'!$A$2:$B$179,2,FALSE)</f>
        <v>Attività Ord. Vivaistica Montecchio</v>
      </c>
      <c r="Q524" s="623" t="s">
        <v>1999</v>
      </c>
      <c r="R524" s="642" t="s">
        <v>72</v>
      </c>
    </row>
    <row r="525" spans="1:18" ht="28.5" customHeight="1" outlineLevel="2">
      <c r="A525" s="85" t="s">
        <v>588</v>
      </c>
      <c r="B525" s="402" t="s">
        <v>1868</v>
      </c>
      <c r="C525" s="85" t="s">
        <v>599</v>
      </c>
      <c r="D525" s="508" t="s">
        <v>561</v>
      </c>
      <c r="E525" s="87">
        <v>2018</v>
      </c>
      <c r="F525" s="88">
        <v>232</v>
      </c>
      <c r="G525" s="120" t="s">
        <v>742</v>
      </c>
      <c r="H525" s="581" t="s">
        <v>1573</v>
      </c>
      <c r="I525" s="601">
        <v>7000</v>
      </c>
      <c r="J525" s="595" t="s">
        <v>36</v>
      </c>
      <c r="K525" s="91">
        <v>1</v>
      </c>
      <c r="L525" s="91">
        <v>3</v>
      </c>
      <c r="M525" s="92">
        <v>32</v>
      </c>
      <c r="N525" s="119" t="str">
        <f>VLOOKUP(M525,'PF Uscite Sp. Corr.'!$C$1:$E$100,2,FALSE)</f>
        <v>Altri beni di consumo</v>
      </c>
      <c r="O525" s="131">
        <v>1531</v>
      </c>
      <c r="P525" s="614" t="str">
        <f>VLOOKUP(O525,'Centri di Costo'!$A$2:$B$179,2,FALSE)</f>
        <v>Attività Ord. Vivaistica Montecchio</v>
      </c>
      <c r="Q525" s="623" t="s">
        <v>1999</v>
      </c>
      <c r="R525" s="640" t="s">
        <v>743</v>
      </c>
    </row>
    <row r="526" spans="1:18" ht="28.5" customHeight="1" outlineLevel="2">
      <c r="A526" s="85" t="s">
        <v>588</v>
      </c>
      <c r="B526" s="402" t="s">
        <v>1868</v>
      </c>
      <c r="C526" s="85" t="s">
        <v>599</v>
      </c>
      <c r="D526" s="148" t="s">
        <v>7</v>
      </c>
      <c r="E526" s="87">
        <v>2018</v>
      </c>
      <c r="F526" s="88">
        <v>126</v>
      </c>
      <c r="G526" s="120" t="s">
        <v>726</v>
      </c>
      <c r="H526" s="581" t="s">
        <v>729</v>
      </c>
      <c r="I526" s="601">
        <v>2900</v>
      </c>
      <c r="J526" s="595" t="s">
        <v>36</v>
      </c>
      <c r="K526" s="91">
        <v>1</v>
      </c>
      <c r="L526" s="91">
        <v>3</v>
      </c>
      <c r="M526" s="92">
        <v>32</v>
      </c>
      <c r="N526" s="119" t="str">
        <f>VLOOKUP(M526,'PF Uscite Sp. Corr.'!$C$1:$E$100,2,FALSE)</f>
        <v>Altri beni di consumo</v>
      </c>
      <c r="O526" s="131">
        <v>1532</v>
      </c>
      <c r="P526" s="614" t="str">
        <f>VLOOKUP(O526,'Centri di Costo'!$A$2:$B$179,2,FALSE)</f>
        <v>Attività ord. Vivaisitca Pian dei Spini</v>
      </c>
      <c r="Q526" s="623" t="s">
        <v>1999</v>
      </c>
      <c r="R526" s="642" t="s">
        <v>81</v>
      </c>
    </row>
    <row r="527" spans="1:18" ht="28.5" customHeight="1" outlineLevel="2">
      <c r="A527" s="85" t="s">
        <v>588</v>
      </c>
      <c r="B527" s="402" t="s">
        <v>1868</v>
      </c>
      <c r="C527" s="85" t="s">
        <v>599</v>
      </c>
      <c r="D527" s="148" t="s">
        <v>7</v>
      </c>
      <c r="E527" s="87">
        <v>2018</v>
      </c>
      <c r="F527" s="88">
        <v>126</v>
      </c>
      <c r="G527" s="120" t="s">
        <v>726</v>
      </c>
      <c r="H527" s="581" t="s">
        <v>731</v>
      </c>
      <c r="I527" s="601">
        <v>4000</v>
      </c>
      <c r="J527" s="595" t="s">
        <v>36</v>
      </c>
      <c r="K527" s="91">
        <v>1</v>
      </c>
      <c r="L527" s="91">
        <v>3</v>
      </c>
      <c r="M527" s="92">
        <v>32</v>
      </c>
      <c r="N527" s="119" t="str">
        <f>VLOOKUP(M527,'PF Uscite Sp. Corr.'!$C$1:$E$100,2,FALSE)</f>
        <v>Altri beni di consumo</v>
      </c>
      <c r="O527" s="131">
        <v>1532</v>
      </c>
      <c r="P527" s="614" t="str">
        <f>VLOOKUP(O527,'Centri di Costo'!$A$2:$B$179,2,FALSE)</f>
        <v>Attività ord. Vivaisitca Pian dei Spini</v>
      </c>
      <c r="Q527" s="623" t="s">
        <v>1999</v>
      </c>
      <c r="R527" s="642" t="s">
        <v>324</v>
      </c>
    </row>
    <row r="528" spans="1:18" ht="28.5" customHeight="1" outlineLevel="2">
      <c r="A528" s="85" t="s">
        <v>588</v>
      </c>
      <c r="B528" s="402" t="s">
        <v>1868</v>
      </c>
      <c r="C528" s="85" t="s">
        <v>599</v>
      </c>
      <c r="D528" s="148" t="s">
        <v>7</v>
      </c>
      <c r="E528" s="87">
        <v>2018</v>
      </c>
      <c r="F528" s="88">
        <v>126</v>
      </c>
      <c r="G528" s="120" t="s">
        <v>726</v>
      </c>
      <c r="H528" s="581" t="s">
        <v>704</v>
      </c>
      <c r="I528" s="601">
        <v>8900</v>
      </c>
      <c r="J528" s="595" t="s">
        <v>36</v>
      </c>
      <c r="K528" s="91">
        <v>1</v>
      </c>
      <c r="L528" s="91">
        <v>3</v>
      </c>
      <c r="M528" s="92">
        <v>32</v>
      </c>
      <c r="N528" s="119" t="str">
        <f>VLOOKUP(M528,'PF Uscite Sp. Corr.'!$C$1:$E$100,2,FALSE)</f>
        <v>Altri beni di consumo</v>
      </c>
      <c r="O528" s="131">
        <v>1532</v>
      </c>
      <c r="P528" s="614" t="str">
        <f>VLOOKUP(O528,'Centri di Costo'!$A$2:$B$179,2,FALSE)</f>
        <v>Attività ord. Vivaisitca Pian dei Spini</v>
      </c>
      <c r="Q528" s="623" t="s">
        <v>1999</v>
      </c>
      <c r="R528" s="642" t="s">
        <v>73</v>
      </c>
    </row>
    <row r="529" spans="1:18" ht="28.5" customHeight="1" outlineLevel="2">
      <c r="A529" s="85" t="s">
        <v>588</v>
      </c>
      <c r="B529" s="402" t="s">
        <v>1868</v>
      </c>
      <c r="C529" s="85" t="s">
        <v>599</v>
      </c>
      <c r="D529" s="148" t="s">
        <v>7</v>
      </c>
      <c r="E529" s="87">
        <v>2018</v>
      </c>
      <c r="F529" s="88">
        <v>126</v>
      </c>
      <c r="G529" s="120" t="s">
        <v>726</v>
      </c>
      <c r="H529" s="581" t="s">
        <v>709</v>
      </c>
      <c r="I529" s="601">
        <v>400</v>
      </c>
      <c r="J529" s="595" t="s">
        <v>36</v>
      </c>
      <c r="K529" s="91">
        <v>1</v>
      </c>
      <c r="L529" s="91">
        <v>3</v>
      </c>
      <c r="M529" s="92">
        <v>32</v>
      </c>
      <c r="N529" s="119" t="str">
        <f>VLOOKUP(M529,'PF Uscite Sp. Corr.'!$C$1:$E$100,2,FALSE)</f>
        <v>Altri beni di consumo</v>
      </c>
      <c r="O529" s="131">
        <v>1532</v>
      </c>
      <c r="P529" s="614" t="str">
        <f>VLOOKUP(O529,'Centri di Costo'!$A$2:$B$179,2,FALSE)</f>
        <v>Attività ord. Vivaisitca Pian dei Spini</v>
      </c>
      <c r="Q529" s="623" t="s">
        <v>1999</v>
      </c>
      <c r="R529" s="642" t="s">
        <v>72</v>
      </c>
    </row>
    <row r="530" spans="1:18" ht="28.5" customHeight="1" outlineLevel="2">
      <c r="A530" s="85" t="s">
        <v>588</v>
      </c>
      <c r="B530" s="402" t="s">
        <v>1868</v>
      </c>
      <c r="C530" s="85" t="s">
        <v>599</v>
      </c>
      <c r="D530" s="148" t="s">
        <v>7</v>
      </c>
      <c r="E530" s="87">
        <v>2018</v>
      </c>
      <c r="F530" s="88">
        <v>126</v>
      </c>
      <c r="G530" s="120" t="s">
        <v>726</v>
      </c>
      <c r="H530" s="581" t="s">
        <v>703</v>
      </c>
      <c r="I530" s="601">
        <v>630</v>
      </c>
      <c r="J530" s="595" t="s">
        <v>36</v>
      </c>
      <c r="K530" s="91">
        <v>1</v>
      </c>
      <c r="L530" s="91">
        <v>3</v>
      </c>
      <c r="M530" s="92">
        <v>32</v>
      </c>
      <c r="N530" s="119" t="str">
        <f>VLOOKUP(M530,'PF Uscite Sp. Corr.'!$C$1:$E$100,2,FALSE)</f>
        <v>Altri beni di consumo</v>
      </c>
      <c r="O530" s="131">
        <v>1532</v>
      </c>
      <c r="P530" s="614" t="str">
        <f>VLOOKUP(O530,'Centri di Costo'!$A$2:$B$179,2,FALSE)</f>
        <v>Attività ord. Vivaisitca Pian dei Spini</v>
      </c>
      <c r="Q530" s="623" t="s">
        <v>1999</v>
      </c>
      <c r="R530" s="642" t="s">
        <v>499</v>
      </c>
    </row>
    <row r="531" spans="1:18" ht="28.5" customHeight="1" outlineLevel="2">
      <c r="A531" s="85" t="s">
        <v>588</v>
      </c>
      <c r="B531" s="402" t="s">
        <v>1868</v>
      </c>
      <c r="C531" s="85" t="s">
        <v>599</v>
      </c>
      <c r="D531" s="148" t="s">
        <v>7</v>
      </c>
      <c r="E531" s="87">
        <v>2018</v>
      </c>
      <c r="F531" s="88">
        <v>121</v>
      </c>
      <c r="G531" s="120" t="s">
        <v>699</v>
      </c>
      <c r="H531" s="581" t="s">
        <v>1571</v>
      </c>
      <c r="I531" s="601">
        <v>2400</v>
      </c>
      <c r="J531" s="595" t="s">
        <v>36</v>
      </c>
      <c r="K531" s="91">
        <v>1</v>
      </c>
      <c r="L531" s="91">
        <v>3</v>
      </c>
      <c r="M531" s="92">
        <v>33</v>
      </c>
      <c r="N531" s="119" t="str">
        <f>VLOOKUP(M531,'PF Uscite Sp. Corr.'!$C$1:$E$100,2,FALSE)</f>
        <v>Flora e Fauna</v>
      </c>
      <c r="O531" s="131">
        <v>1531</v>
      </c>
      <c r="P531" s="614" t="str">
        <f>VLOOKUP(O531,'Centri di Costo'!$A$2:$B$179,2,FALSE)</f>
        <v>Attività Ord. Vivaistica Montecchio</v>
      </c>
      <c r="Q531" s="623" t="s">
        <v>1999</v>
      </c>
      <c r="R531" s="642" t="s">
        <v>700</v>
      </c>
    </row>
    <row r="532" spans="1:18" ht="28.5" customHeight="1" outlineLevel="2">
      <c r="A532" s="85" t="s">
        <v>588</v>
      </c>
      <c r="B532" s="402" t="s">
        <v>1868</v>
      </c>
      <c r="C532" s="85" t="s">
        <v>599</v>
      </c>
      <c r="D532" s="148" t="s">
        <v>7</v>
      </c>
      <c r="E532" s="87">
        <v>2018</v>
      </c>
      <c r="F532" s="88">
        <v>126</v>
      </c>
      <c r="G532" s="120" t="s">
        <v>726</v>
      </c>
      <c r="H532" s="581" t="s">
        <v>1571</v>
      </c>
      <c r="I532" s="601">
        <v>600</v>
      </c>
      <c r="J532" s="595" t="s">
        <v>36</v>
      </c>
      <c r="K532" s="91">
        <v>1</v>
      </c>
      <c r="L532" s="91">
        <v>3</v>
      </c>
      <c r="M532" s="92">
        <v>33</v>
      </c>
      <c r="N532" s="119" t="str">
        <f>VLOOKUP(M532,'PF Uscite Sp. Corr.'!$C$1:$E$100,2,FALSE)</f>
        <v>Flora e Fauna</v>
      </c>
      <c r="O532" s="131">
        <v>1532</v>
      </c>
      <c r="P532" s="614" t="str">
        <f>VLOOKUP(O532,'Centri di Costo'!$A$2:$B$179,2,FALSE)</f>
        <v>Attività ord. Vivaisitca Pian dei Spini</v>
      </c>
      <c r="Q532" s="623" t="s">
        <v>1999</v>
      </c>
      <c r="R532" s="642" t="s">
        <v>700</v>
      </c>
    </row>
    <row r="533" spans="1:18" ht="28.5" customHeight="1" outlineLevel="2">
      <c r="A533" s="85" t="s">
        <v>588</v>
      </c>
      <c r="B533" s="402" t="s">
        <v>1868</v>
      </c>
      <c r="C533" s="85" t="s">
        <v>599</v>
      </c>
      <c r="D533" s="148" t="s">
        <v>7</v>
      </c>
      <c r="E533" s="87">
        <v>2018</v>
      </c>
      <c r="F533" s="88">
        <v>121</v>
      </c>
      <c r="G533" s="120" t="s">
        <v>699</v>
      </c>
      <c r="H533" s="581" t="s">
        <v>707</v>
      </c>
      <c r="I533" s="601">
        <v>888</v>
      </c>
      <c r="J533" s="595" t="s">
        <v>36</v>
      </c>
      <c r="K533" s="91">
        <v>1</v>
      </c>
      <c r="L533" s="91">
        <v>3</v>
      </c>
      <c r="M533" s="92">
        <v>42</v>
      </c>
      <c r="N533" s="119" t="str">
        <f>VLOOKUP(M533,'PF Uscite Sp. Corr.'!$C$1:$E$100,2,FALSE)</f>
        <v>Rimborso viaggio e Indennità di missione e trasferta</v>
      </c>
      <c r="O533" s="131">
        <v>1531</v>
      </c>
      <c r="P533" s="614" t="str">
        <f>VLOOKUP(O533,'Centri di Costo'!$A$2:$B$179,2,FALSE)</f>
        <v>Attività Ord. Vivaistica Montecchio</v>
      </c>
      <c r="Q533" s="623" t="s">
        <v>1999</v>
      </c>
      <c r="R533" s="642" t="s">
        <v>74</v>
      </c>
    </row>
    <row r="534" spans="1:18" ht="28.5" customHeight="1" outlineLevel="2">
      <c r="A534" s="85" t="s">
        <v>588</v>
      </c>
      <c r="B534" s="402" t="s">
        <v>1868</v>
      </c>
      <c r="C534" s="85" t="s">
        <v>599</v>
      </c>
      <c r="D534" s="148" t="s">
        <v>7</v>
      </c>
      <c r="E534" s="87">
        <v>2018</v>
      </c>
      <c r="F534" s="88">
        <v>126</v>
      </c>
      <c r="G534" s="120" t="s">
        <v>726</v>
      </c>
      <c r="H534" s="581" t="s">
        <v>727</v>
      </c>
      <c r="I534" s="601">
        <v>400</v>
      </c>
      <c r="J534" s="595" t="s">
        <v>36</v>
      </c>
      <c r="K534" s="91">
        <v>1</v>
      </c>
      <c r="L534" s="91">
        <v>3</v>
      </c>
      <c r="M534" s="92">
        <v>42</v>
      </c>
      <c r="N534" s="119" t="str">
        <f>VLOOKUP(M534,'PF Uscite Sp. Corr.'!$C$1:$E$100,2,FALSE)</f>
        <v>Rimborso viaggio e Indennità di missione e trasferta</v>
      </c>
      <c r="O534" s="131">
        <v>1532</v>
      </c>
      <c r="P534" s="614" t="str">
        <f>VLOOKUP(O534,'Centri di Costo'!$A$2:$B$179,2,FALSE)</f>
        <v>Attività ord. Vivaisitca Pian dei Spini</v>
      </c>
      <c r="Q534" s="623" t="s">
        <v>1999</v>
      </c>
      <c r="R534" s="642" t="s">
        <v>74</v>
      </c>
    </row>
    <row r="535" spans="1:18" ht="28.5" customHeight="1" outlineLevel="2">
      <c r="A535" s="85" t="s">
        <v>588</v>
      </c>
      <c r="B535" s="402" t="s">
        <v>1868</v>
      </c>
      <c r="C535" s="85" t="s">
        <v>599</v>
      </c>
      <c r="D535" s="148" t="s">
        <v>7</v>
      </c>
      <c r="E535" s="87">
        <v>2018</v>
      </c>
      <c r="F535" s="88">
        <v>121</v>
      </c>
      <c r="G535" s="120" t="s">
        <v>699</v>
      </c>
      <c r="H535" s="581" t="s">
        <v>715</v>
      </c>
      <c r="I535" s="601">
        <v>700</v>
      </c>
      <c r="J535" s="595" t="s">
        <v>36</v>
      </c>
      <c r="K535" s="91">
        <v>1</v>
      </c>
      <c r="L535" s="91">
        <v>3</v>
      </c>
      <c r="M535" s="92">
        <v>44</v>
      </c>
      <c r="N535" s="119" t="str">
        <f>VLOOKUP(M535,'PF Uscite Sp. Corr.'!$C$1:$E$100,2,FALSE)</f>
        <v>Acquisto di servizi per formazione e addestramento del personale dell'ente</v>
      </c>
      <c r="O535" s="131">
        <v>1531</v>
      </c>
      <c r="P535" s="614" t="str">
        <f>VLOOKUP(O535,'Centri di Costo'!$A$2:$B$179,2,FALSE)</f>
        <v>Attività Ord. Vivaistica Montecchio</v>
      </c>
      <c r="Q535" s="623" t="s">
        <v>1999</v>
      </c>
      <c r="R535" s="642" t="s">
        <v>156</v>
      </c>
    </row>
    <row r="536" spans="1:18" ht="28.5" customHeight="1" outlineLevel="2">
      <c r="A536" s="85" t="s">
        <v>588</v>
      </c>
      <c r="B536" s="402" t="s">
        <v>1868</v>
      </c>
      <c r="C536" s="85" t="s">
        <v>599</v>
      </c>
      <c r="D536" s="148" t="s">
        <v>7</v>
      </c>
      <c r="E536" s="87">
        <v>2018</v>
      </c>
      <c r="F536" s="88">
        <v>126</v>
      </c>
      <c r="G536" s="120" t="s">
        <v>726</v>
      </c>
      <c r="H536" s="581" t="s">
        <v>728</v>
      </c>
      <c r="I536" s="601">
        <v>200</v>
      </c>
      <c r="J536" s="595" t="s">
        <v>36</v>
      </c>
      <c r="K536" s="91">
        <v>1</v>
      </c>
      <c r="L536" s="91">
        <v>3</v>
      </c>
      <c r="M536" s="92">
        <v>44</v>
      </c>
      <c r="N536" s="119" t="str">
        <f>VLOOKUP(M536,'PF Uscite Sp. Corr.'!$C$1:$E$100,2,FALSE)</f>
        <v>Acquisto di servizi per formazione e addestramento del personale dell'ente</v>
      </c>
      <c r="O536" s="131">
        <v>1532</v>
      </c>
      <c r="P536" s="614" t="str">
        <f>VLOOKUP(O536,'Centri di Costo'!$A$2:$B$179,2,FALSE)</f>
        <v>Attività ord. Vivaisitca Pian dei Spini</v>
      </c>
      <c r="Q536" s="623" t="s">
        <v>1999</v>
      </c>
      <c r="R536" s="642" t="s">
        <v>156</v>
      </c>
    </row>
    <row r="537" spans="1:18" ht="28.5" customHeight="1" outlineLevel="2">
      <c r="A537" s="85" t="s">
        <v>588</v>
      </c>
      <c r="B537" s="402" t="s">
        <v>1868</v>
      </c>
      <c r="C537" s="85" t="s">
        <v>599</v>
      </c>
      <c r="D537" s="148" t="s">
        <v>7</v>
      </c>
      <c r="E537" s="87">
        <v>2018</v>
      </c>
      <c r="F537" s="88">
        <v>121</v>
      </c>
      <c r="G537" s="120" t="s">
        <v>699</v>
      </c>
      <c r="H537" s="581" t="s">
        <v>718</v>
      </c>
      <c r="I537" s="601">
        <v>700</v>
      </c>
      <c r="J537" s="595" t="s">
        <v>36</v>
      </c>
      <c r="K537" s="91">
        <v>1</v>
      </c>
      <c r="L537" s="91">
        <v>3</v>
      </c>
      <c r="M537" s="92">
        <v>45</v>
      </c>
      <c r="N537" s="119" t="str">
        <f>VLOOKUP(M537,'PF Uscite Sp. Corr.'!$C$1:$E$100,2,FALSE)</f>
        <v>Utenze e canoni</v>
      </c>
      <c r="O537" s="131">
        <v>1531</v>
      </c>
      <c r="P537" s="614" t="str">
        <f>VLOOKUP(O537,'Centri di Costo'!$A$2:$B$179,2,FALSE)</f>
        <v>Attività Ord. Vivaistica Montecchio</v>
      </c>
      <c r="Q537" s="623" t="s">
        <v>1999</v>
      </c>
      <c r="R537" s="642" t="s">
        <v>67</v>
      </c>
    </row>
    <row r="538" spans="1:18" ht="28.5" customHeight="1" outlineLevel="2">
      <c r="A538" s="85" t="s">
        <v>588</v>
      </c>
      <c r="B538" s="402" t="s">
        <v>1868</v>
      </c>
      <c r="C538" s="85" t="s">
        <v>599</v>
      </c>
      <c r="D538" s="148" t="s">
        <v>7</v>
      </c>
      <c r="E538" s="87">
        <v>2018</v>
      </c>
      <c r="F538" s="88">
        <v>121</v>
      </c>
      <c r="G538" s="120" t="s">
        <v>699</v>
      </c>
      <c r="H538" s="581" t="s">
        <v>720</v>
      </c>
      <c r="I538" s="601">
        <v>8237</v>
      </c>
      <c r="J538" s="595" t="s">
        <v>36</v>
      </c>
      <c r="K538" s="91">
        <v>1</v>
      </c>
      <c r="L538" s="91">
        <v>3</v>
      </c>
      <c r="M538" s="92">
        <v>45</v>
      </c>
      <c r="N538" s="119" t="str">
        <f>VLOOKUP(M538,'PF Uscite Sp. Corr.'!$C$1:$E$100,2,FALSE)</f>
        <v>Utenze e canoni</v>
      </c>
      <c r="O538" s="131">
        <v>1531</v>
      </c>
      <c r="P538" s="614" t="str">
        <f>VLOOKUP(O538,'Centri di Costo'!$A$2:$B$179,2,FALSE)</f>
        <v>Attività Ord. Vivaistica Montecchio</v>
      </c>
      <c r="Q538" s="624" t="s">
        <v>2014</v>
      </c>
      <c r="R538" s="642" t="s">
        <v>58</v>
      </c>
    </row>
    <row r="539" spans="1:18" ht="28.5" customHeight="1" outlineLevel="2">
      <c r="A539" s="85" t="s">
        <v>588</v>
      </c>
      <c r="B539" s="402" t="s">
        <v>1868</v>
      </c>
      <c r="C539" s="85" t="s">
        <v>599</v>
      </c>
      <c r="D539" s="148" t="s">
        <v>7</v>
      </c>
      <c r="E539" s="87">
        <v>2018</v>
      </c>
      <c r="F539" s="88">
        <v>121</v>
      </c>
      <c r="G539" s="120" t="s">
        <v>699</v>
      </c>
      <c r="H539" s="581" t="s">
        <v>721</v>
      </c>
      <c r="I539" s="601">
        <v>1000</v>
      </c>
      <c r="J539" s="595" t="s">
        <v>36</v>
      </c>
      <c r="K539" s="91">
        <v>1</v>
      </c>
      <c r="L539" s="91">
        <v>3</v>
      </c>
      <c r="M539" s="92">
        <v>45</v>
      </c>
      <c r="N539" s="119" t="str">
        <f>VLOOKUP(M539,'PF Uscite Sp. Corr.'!$C$1:$E$100,2,FALSE)</f>
        <v>Utenze e canoni</v>
      </c>
      <c r="O539" s="131">
        <v>1531</v>
      </c>
      <c r="P539" s="614" t="str">
        <f>VLOOKUP(O539,'Centri di Costo'!$A$2:$B$179,2,FALSE)</f>
        <v>Attività Ord. Vivaistica Montecchio</v>
      </c>
      <c r="Q539" s="624" t="s">
        <v>2014</v>
      </c>
      <c r="R539" s="642" t="s">
        <v>105</v>
      </c>
    </row>
    <row r="540" spans="1:18" ht="28.5" customHeight="1" outlineLevel="2">
      <c r="A540" s="85" t="s">
        <v>588</v>
      </c>
      <c r="B540" s="402" t="s">
        <v>1868</v>
      </c>
      <c r="C540" s="85" t="s">
        <v>599</v>
      </c>
      <c r="D540" s="148" t="s">
        <v>7</v>
      </c>
      <c r="E540" s="87">
        <v>2018</v>
      </c>
      <c r="F540" s="88">
        <v>121</v>
      </c>
      <c r="G540" s="120" t="s">
        <v>699</v>
      </c>
      <c r="H540" s="581" t="s">
        <v>724</v>
      </c>
      <c r="I540" s="601">
        <v>1300</v>
      </c>
      <c r="J540" s="595" t="s">
        <v>36</v>
      </c>
      <c r="K540" s="91">
        <v>1</v>
      </c>
      <c r="L540" s="91">
        <v>3</v>
      </c>
      <c r="M540" s="92">
        <v>45</v>
      </c>
      <c r="N540" s="119" t="str">
        <f>VLOOKUP(M540,'PF Uscite Sp. Corr.'!$C$1:$E$100,2,FALSE)</f>
        <v>Utenze e canoni</v>
      </c>
      <c r="O540" s="131">
        <v>1531</v>
      </c>
      <c r="P540" s="614" t="str">
        <f>VLOOKUP(O540,'Centri di Costo'!$A$2:$B$179,2,FALSE)</f>
        <v>Attività Ord. Vivaistica Montecchio</v>
      </c>
      <c r="Q540" s="624" t="s">
        <v>2014</v>
      </c>
      <c r="R540" s="642" t="s">
        <v>65</v>
      </c>
    </row>
    <row r="541" spans="1:18" ht="28.5" customHeight="1" outlineLevel="2">
      <c r="A541" s="85" t="s">
        <v>588</v>
      </c>
      <c r="B541" s="402" t="s">
        <v>1868</v>
      </c>
      <c r="C541" s="85" t="s">
        <v>599</v>
      </c>
      <c r="D541" s="148" t="s">
        <v>7</v>
      </c>
      <c r="E541" s="87">
        <v>2018</v>
      </c>
      <c r="F541" s="88">
        <v>126</v>
      </c>
      <c r="G541" s="120" t="s">
        <v>726</v>
      </c>
      <c r="H541" s="581" t="s">
        <v>721</v>
      </c>
      <c r="I541" s="601">
        <v>500</v>
      </c>
      <c r="J541" s="595" t="s">
        <v>36</v>
      </c>
      <c r="K541" s="91">
        <v>1</v>
      </c>
      <c r="L541" s="91">
        <v>3</v>
      </c>
      <c r="M541" s="92">
        <v>45</v>
      </c>
      <c r="N541" s="119" t="str">
        <f>VLOOKUP(M541,'PF Uscite Sp. Corr.'!$C$1:$E$100,2,FALSE)</f>
        <v>Utenze e canoni</v>
      </c>
      <c r="O541" s="131">
        <v>1532</v>
      </c>
      <c r="P541" s="614" t="str">
        <f>VLOOKUP(O541,'Centri di Costo'!$A$2:$B$179,2,FALSE)</f>
        <v>Attività ord. Vivaisitca Pian dei Spini</v>
      </c>
      <c r="Q541" s="624" t="s">
        <v>2014</v>
      </c>
      <c r="R541" s="642" t="s">
        <v>105</v>
      </c>
    </row>
    <row r="542" spans="1:18" ht="28.5" customHeight="1" outlineLevel="2">
      <c r="A542" s="85" t="s">
        <v>588</v>
      </c>
      <c r="B542" s="402" t="s">
        <v>1868</v>
      </c>
      <c r="C542" s="85" t="s">
        <v>599</v>
      </c>
      <c r="D542" s="148" t="s">
        <v>7</v>
      </c>
      <c r="E542" s="87">
        <v>2018</v>
      </c>
      <c r="F542" s="88">
        <v>126</v>
      </c>
      <c r="G542" s="120" t="s">
        <v>726</v>
      </c>
      <c r="H542" s="581" t="s">
        <v>724</v>
      </c>
      <c r="I542" s="601">
        <v>800</v>
      </c>
      <c r="J542" s="595" t="s">
        <v>36</v>
      </c>
      <c r="K542" s="91">
        <v>1</v>
      </c>
      <c r="L542" s="91">
        <v>3</v>
      </c>
      <c r="M542" s="92">
        <v>45</v>
      </c>
      <c r="N542" s="119" t="str">
        <f>VLOOKUP(M542,'PF Uscite Sp. Corr.'!$C$1:$E$100,2,FALSE)</f>
        <v>Utenze e canoni</v>
      </c>
      <c r="O542" s="131">
        <v>1532</v>
      </c>
      <c r="P542" s="614" t="str">
        <f>VLOOKUP(O542,'Centri di Costo'!$A$2:$B$179,2,FALSE)</f>
        <v>Attività ord. Vivaisitca Pian dei Spini</v>
      </c>
      <c r="Q542" s="624" t="s">
        <v>2014</v>
      </c>
      <c r="R542" s="642" t="s">
        <v>65</v>
      </c>
    </row>
    <row r="543" spans="1:18" ht="28.5" customHeight="1" outlineLevel="2">
      <c r="A543" s="85" t="s">
        <v>588</v>
      </c>
      <c r="B543" s="402" t="s">
        <v>1868</v>
      </c>
      <c r="C543" s="85" t="s">
        <v>599</v>
      </c>
      <c r="D543" s="148" t="s">
        <v>7</v>
      </c>
      <c r="E543" s="87">
        <v>2018</v>
      </c>
      <c r="F543" s="88">
        <v>126</v>
      </c>
      <c r="G543" s="120" t="s">
        <v>726</v>
      </c>
      <c r="H543" s="581" t="s">
        <v>718</v>
      </c>
      <c r="I543" s="601">
        <v>850</v>
      </c>
      <c r="J543" s="595" t="s">
        <v>36</v>
      </c>
      <c r="K543" s="91">
        <v>1</v>
      </c>
      <c r="L543" s="91">
        <v>3</v>
      </c>
      <c r="M543" s="92">
        <v>45</v>
      </c>
      <c r="N543" s="119" t="str">
        <f>VLOOKUP(M543,'PF Uscite Sp. Corr.'!$C$1:$E$100,2,FALSE)</f>
        <v>Utenze e canoni</v>
      </c>
      <c r="O543" s="131">
        <v>1532</v>
      </c>
      <c r="P543" s="614" t="str">
        <f>VLOOKUP(O543,'Centri di Costo'!$A$2:$B$179,2,FALSE)</f>
        <v>Attività ord. Vivaisitca Pian dei Spini</v>
      </c>
      <c r="Q543" s="623" t="s">
        <v>1999</v>
      </c>
      <c r="R543" s="642" t="s">
        <v>67</v>
      </c>
    </row>
    <row r="544" spans="1:18" ht="28.5" customHeight="1" outlineLevel="2">
      <c r="A544" s="85" t="s">
        <v>588</v>
      </c>
      <c r="B544" s="402" t="s">
        <v>1868</v>
      </c>
      <c r="C544" s="85" t="s">
        <v>599</v>
      </c>
      <c r="D544" s="148" t="s">
        <v>7</v>
      </c>
      <c r="E544" s="87">
        <v>2018</v>
      </c>
      <c r="F544" s="88">
        <v>126</v>
      </c>
      <c r="G544" s="120" t="s">
        <v>726</v>
      </c>
      <c r="H544" s="581" t="s">
        <v>720</v>
      </c>
      <c r="I544" s="601">
        <v>2000</v>
      </c>
      <c r="J544" s="595" t="s">
        <v>36</v>
      </c>
      <c r="K544" s="91">
        <v>1</v>
      </c>
      <c r="L544" s="91">
        <v>3</v>
      </c>
      <c r="M544" s="92">
        <v>45</v>
      </c>
      <c r="N544" s="119" t="str">
        <f>VLOOKUP(M544,'PF Uscite Sp. Corr.'!$C$1:$E$100,2,FALSE)</f>
        <v>Utenze e canoni</v>
      </c>
      <c r="O544" s="131">
        <v>1532</v>
      </c>
      <c r="P544" s="614" t="str">
        <f>VLOOKUP(O544,'Centri di Costo'!$A$2:$B$179,2,FALSE)</f>
        <v>Attività ord. Vivaisitca Pian dei Spini</v>
      </c>
      <c r="Q544" s="624" t="s">
        <v>2014</v>
      </c>
      <c r="R544" s="642" t="s">
        <v>58</v>
      </c>
    </row>
    <row r="545" spans="1:18" ht="28.5" customHeight="1" outlineLevel="2">
      <c r="A545" s="85" t="s">
        <v>588</v>
      </c>
      <c r="B545" s="402" t="s">
        <v>1868</v>
      </c>
      <c r="C545" s="85" t="s">
        <v>599</v>
      </c>
      <c r="D545" s="148" t="s">
        <v>7</v>
      </c>
      <c r="E545" s="87">
        <v>2018</v>
      </c>
      <c r="F545" s="88">
        <v>121</v>
      </c>
      <c r="G545" s="120" t="s">
        <v>699</v>
      </c>
      <c r="H545" s="581" t="s">
        <v>2020</v>
      </c>
      <c r="I545" s="601">
        <v>19500</v>
      </c>
      <c r="J545" s="595" t="s">
        <v>36</v>
      </c>
      <c r="K545" s="91">
        <v>1</v>
      </c>
      <c r="L545" s="91">
        <v>3</v>
      </c>
      <c r="M545" s="92">
        <v>47</v>
      </c>
      <c r="N545" s="119" t="str">
        <f>VLOOKUP(M545,'PF Uscite Sp. Corr.'!$C$1:$E$100,2,FALSE)</f>
        <v>Utilizzo di beni di terzi</v>
      </c>
      <c r="O545" s="131">
        <v>1531</v>
      </c>
      <c r="P545" s="614" t="str">
        <f>VLOOKUP(O545,'Centri di Costo'!$A$2:$B$179,2,FALSE)</f>
        <v>Attività Ord. Vivaistica Montecchio</v>
      </c>
      <c r="Q545" s="623" t="s">
        <v>1999</v>
      </c>
      <c r="R545" s="642" t="s">
        <v>127</v>
      </c>
    </row>
    <row r="546" spans="1:18" ht="28.5" customHeight="1" outlineLevel="2">
      <c r="A546" s="85" t="s">
        <v>588</v>
      </c>
      <c r="B546" s="402" t="s">
        <v>1868</v>
      </c>
      <c r="C546" s="85" t="s">
        <v>599</v>
      </c>
      <c r="D546" s="148" t="s">
        <v>7</v>
      </c>
      <c r="E546" s="87">
        <v>2018</v>
      </c>
      <c r="F546" s="88">
        <v>121</v>
      </c>
      <c r="G546" s="120" t="s">
        <v>699</v>
      </c>
      <c r="H546" s="581" t="s">
        <v>717</v>
      </c>
      <c r="I546" s="601">
        <v>1500</v>
      </c>
      <c r="J546" s="595" t="s">
        <v>36</v>
      </c>
      <c r="K546" s="91">
        <v>1</v>
      </c>
      <c r="L546" s="91">
        <v>3</v>
      </c>
      <c r="M546" s="92">
        <v>49</v>
      </c>
      <c r="N546" s="119" t="str">
        <f>VLOOKUP(M546,'PF Uscite Sp. Corr.'!$C$1:$E$100,2,FALSE)</f>
        <v>Manutenzione ordinaria e riparazioni</v>
      </c>
      <c r="O546" s="131">
        <v>1531</v>
      </c>
      <c r="P546" s="614" t="str">
        <f>VLOOKUP(O546,'Centri di Costo'!$A$2:$B$179,2,FALSE)</f>
        <v>Attività Ord. Vivaistica Montecchio</v>
      </c>
      <c r="Q546" s="623" t="s">
        <v>1999</v>
      </c>
      <c r="R546" s="642" t="s">
        <v>99</v>
      </c>
    </row>
    <row r="547" spans="1:18" ht="28.5" customHeight="1" outlineLevel="2">
      <c r="A547" s="85" t="s">
        <v>588</v>
      </c>
      <c r="B547" s="402" t="s">
        <v>1868</v>
      </c>
      <c r="C547" s="85" t="s">
        <v>599</v>
      </c>
      <c r="D547" s="148" t="s">
        <v>7</v>
      </c>
      <c r="E547" s="87">
        <v>2018</v>
      </c>
      <c r="F547" s="88">
        <v>121</v>
      </c>
      <c r="G547" s="120" t="s">
        <v>699</v>
      </c>
      <c r="H547" s="581" t="s">
        <v>719</v>
      </c>
      <c r="I547" s="601">
        <v>800</v>
      </c>
      <c r="J547" s="595" t="s">
        <v>36</v>
      </c>
      <c r="K547" s="91">
        <v>1</v>
      </c>
      <c r="L547" s="91">
        <v>3</v>
      </c>
      <c r="M547" s="92">
        <v>49</v>
      </c>
      <c r="N547" s="119" t="str">
        <f>VLOOKUP(M547,'PF Uscite Sp. Corr.'!$C$1:$E$100,2,FALSE)</f>
        <v>Manutenzione ordinaria e riparazioni</v>
      </c>
      <c r="O547" s="131">
        <v>1531</v>
      </c>
      <c r="P547" s="614" t="str">
        <f>VLOOKUP(O547,'Centri di Costo'!$A$2:$B$179,2,FALSE)</f>
        <v>Attività Ord. Vivaistica Montecchio</v>
      </c>
      <c r="Q547" s="623" t="s">
        <v>1999</v>
      </c>
      <c r="R547" s="642" t="s">
        <v>647</v>
      </c>
    </row>
    <row r="548" spans="1:18" ht="28.5" customHeight="1" outlineLevel="2">
      <c r="A548" s="85" t="s">
        <v>588</v>
      </c>
      <c r="B548" s="402" t="s">
        <v>1868</v>
      </c>
      <c r="C548" s="85" t="s">
        <v>599</v>
      </c>
      <c r="D548" s="148" t="s">
        <v>7</v>
      </c>
      <c r="E548" s="87">
        <v>2018</v>
      </c>
      <c r="F548" s="88">
        <v>121</v>
      </c>
      <c r="G548" s="120" t="s">
        <v>699</v>
      </c>
      <c r="H548" s="581" t="s">
        <v>722</v>
      </c>
      <c r="I548" s="601">
        <v>4100</v>
      </c>
      <c r="J548" s="595" t="s">
        <v>36</v>
      </c>
      <c r="K548" s="91">
        <v>1</v>
      </c>
      <c r="L548" s="91">
        <v>3</v>
      </c>
      <c r="M548" s="92">
        <v>49</v>
      </c>
      <c r="N548" s="119" t="str">
        <f>VLOOKUP(M548,'PF Uscite Sp. Corr.'!$C$1:$E$100,2,FALSE)</f>
        <v>Manutenzione ordinaria e riparazioni</v>
      </c>
      <c r="O548" s="131">
        <v>1531</v>
      </c>
      <c r="P548" s="614" t="str">
        <f>VLOOKUP(O548,'Centri di Costo'!$A$2:$B$179,2,FALSE)</f>
        <v>Attività Ord. Vivaistica Montecchio</v>
      </c>
      <c r="Q548" s="623" t="s">
        <v>1999</v>
      </c>
      <c r="R548" s="642" t="s">
        <v>109</v>
      </c>
    </row>
    <row r="549" spans="1:18" ht="28.5" customHeight="1" outlineLevel="2">
      <c r="A549" s="85" t="s">
        <v>588</v>
      </c>
      <c r="B549" s="402" t="s">
        <v>1868</v>
      </c>
      <c r="C549" s="85" t="s">
        <v>599</v>
      </c>
      <c r="D549" s="148" t="s">
        <v>7</v>
      </c>
      <c r="E549" s="87">
        <v>2018</v>
      </c>
      <c r="F549" s="88">
        <v>121</v>
      </c>
      <c r="G549" s="120" t="s">
        <v>699</v>
      </c>
      <c r="H549" s="581" t="s">
        <v>723</v>
      </c>
      <c r="I549" s="601">
        <v>6200</v>
      </c>
      <c r="J549" s="595" t="s">
        <v>36</v>
      </c>
      <c r="K549" s="91">
        <v>1</v>
      </c>
      <c r="L549" s="91">
        <v>3</v>
      </c>
      <c r="M549" s="92">
        <v>49</v>
      </c>
      <c r="N549" s="119" t="str">
        <f>VLOOKUP(M549,'PF Uscite Sp. Corr.'!$C$1:$E$100,2,FALSE)</f>
        <v>Manutenzione ordinaria e riparazioni</v>
      </c>
      <c r="O549" s="131">
        <v>1531</v>
      </c>
      <c r="P549" s="614" t="str">
        <f>VLOOKUP(O549,'Centri di Costo'!$A$2:$B$179,2,FALSE)</f>
        <v>Attività Ord. Vivaistica Montecchio</v>
      </c>
      <c r="Q549" s="623" t="s">
        <v>1999</v>
      </c>
      <c r="R549" s="642" t="s">
        <v>52</v>
      </c>
    </row>
    <row r="550" spans="1:18" ht="28.5" customHeight="1" outlineLevel="2">
      <c r="A550" s="85" t="s">
        <v>588</v>
      </c>
      <c r="B550" s="402" t="s">
        <v>1868</v>
      </c>
      <c r="C550" s="85" t="s">
        <v>599</v>
      </c>
      <c r="D550" s="148" t="s">
        <v>7</v>
      </c>
      <c r="E550" s="87">
        <v>2018</v>
      </c>
      <c r="F550" s="88">
        <v>121</v>
      </c>
      <c r="G550" s="120" t="s">
        <v>699</v>
      </c>
      <c r="H550" s="581" t="s">
        <v>725</v>
      </c>
      <c r="I550" s="601">
        <v>2600</v>
      </c>
      <c r="J550" s="595" t="s">
        <v>36</v>
      </c>
      <c r="K550" s="91">
        <v>1</v>
      </c>
      <c r="L550" s="91">
        <v>3</v>
      </c>
      <c r="M550" s="92">
        <v>49</v>
      </c>
      <c r="N550" s="119" t="str">
        <f>VLOOKUP(M550,'PF Uscite Sp. Corr.'!$C$1:$E$100,2,FALSE)</f>
        <v>Manutenzione ordinaria e riparazioni</v>
      </c>
      <c r="O550" s="131">
        <v>1531</v>
      </c>
      <c r="P550" s="614" t="str">
        <f>VLOOKUP(O550,'Centri di Costo'!$A$2:$B$179,2,FALSE)</f>
        <v>Attività Ord. Vivaistica Montecchio</v>
      </c>
      <c r="Q550" s="623" t="s">
        <v>1999</v>
      </c>
      <c r="R550" s="642" t="s">
        <v>322</v>
      </c>
    </row>
    <row r="551" spans="1:18" ht="28.5" customHeight="1" outlineLevel="2">
      <c r="A551" s="85" t="s">
        <v>588</v>
      </c>
      <c r="B551" s="402" t="s">
        <v>1868</v>
      </c>
      <c r="C551" s="85" t="s">
        <v>599</v>
      </c>
      <c r="D551" s="148" t="s">
        <v>7</v>
      </c>
      <c r="E551" s="87">
        <v>2018</v>
      </c>
      <c r="F551" s="88">
        <v>126</v>
      </c>
      <c r="G551" s="120" t="s">
        <v>726</v>
      </c>
      <c r="H551" s="581" t="s">
        <v>717</v>
      </c>
      <c r="I551" s="601">
        <v>500</v>
      </c>
      <c r="J551" s="595" t="s">
        <v>36</v>
      </c>
      <c r="K551" s="91">
        <v>1</v>
      </c>
      <c r="L551" s="91">
        <v>3</v>
      </c>
      <c r="M551" s="92">
        <v>49</v>
      </c>
      <c r="N551" s="119" t="str">
        <f>VLOOKUP(M551,'PF Uscite Sp. Corr.'!$C$1:$E$100,2,FALSE)</f>
        <v>Manutenzione ordinaria e riparazioni</v>
      </c>
      <c r="O551" s="131">
        <v>1532</v>
      </c>
      <c r="P551" s="614" t="str">
        <f>VLOOKUP(O551,'Centri di Costo'!$A$2:$B$179,2,FALSE)</f>
        <v>Attività ord. Vivaisitca Pian dei Spini</v>
      </c>
      <c r="Q551" s="623" t="s">
        <v>1999</v>
      </c>
      <c r="R551" s="642" t="s">
        <v>99</v>
      </c>
    </row>
    <row r="552" spans="1:18" ht="28.5" customHeight="1" outlineLevel="2">
      <c r="A552" s="85" t="s">
        <v>588</v>
      </c>
      <c r="B552" s="402" t="s">
        <v>1868</v>
      </c>
      <c r="C552" s="85" t="s">
        <v>599</v>
      </c>
      <c r="D552" s="148" t="s">
        <v>7</v>
      </c>
      <c r="E552" s="87">
        <v>2018</v>
      </c>
      <c r="F552" s="88">
        <v>126</v>
      </c>
      <c r="G552" s="120" t="s">
        <v>726</v>
      </c>
      <c r="H552" s="581" t="s">
        <v>725</v>
      </c>
      <c r="I552" s="601">
        <v>1400</v>
      </c>
      <c r="J552" s="595" t="s">
        <v>36</v>
      </c>
      <c r="K552" s="91">
        <v>1</v>
      </c>
      <c r="L552" s="91">
        <v>3</v>
      </c>
      <c r="M552" s="92">
        <v>49</v>
      </c>
      <c r="N552" s="119" t="str">
        <f>VLOOKUP(M552,'PF Uscite Sp. Corr.'!$C$1:$E$100,2,FALSE)</f>
        <v>Manutenzione ordinaria e riparazioni</v>
      </c>
      <c r="O552" s="131">
        <v>1532</v>
      </c>
      <c r="P552" s="614" t="str">
        <f>VLOOKUP(O552,'Centri di Costo'!$A$2:$B$179,2,FALSE)</f>
        <v>Attività ord. Vivaisitca Pian dei Spini</v>
      </c>
      <c r="Q552" s="623" t="s">
        <v>1999</v>
      </c>
      <c r="R552" s="642" t="s">
        <v>322</v>
      </c>
    </row>
    <row r="553" spans="1:18" ht="28.5" customHeight="1" outlineLevel="2">
      <c r="A553" s="85" t="s">
        <v>588</v>
      </c>
      <c r="B553" s="402" t="s">
        <v>1868</v>
      </c>
      <c r="C553" s="85" t="s">
        <v>599</v>
      </c>
      <c r="D553" s="148" t="s">
        <v>7</v>
      </c>
      <c r="E553" s="87">
        <v>2018</v>
      </c>
      <c r="F553" s="88">
        <v>126</v>
      </c>
      <c r="G553" s="120" t="s">
        <v>726</v>
      </c>
      <c r="H553" s="581" t="s">
        <v>722</v>
      </c>
      <c r="I553" s="601">
        <v>1500</v>
      </c>
      <c r="J553" s="595" t="s">
        <v>36</v>
      </c>
      <c r="K553" s="91">
        <v>1</v>
      </c>
      <c r="L553" s="91">
        <v>3</v>
      </c>
      <c r="M553" s="92">
        <v>49</v>
      </c>
      <c r="N553" s="119" t="str">
        <f>VLOOKUP(M553,'PF Uscite Sp. Corr.'!$C$1:$E$100,2,FALSE)</f>
        <v>Manutenzione ordinaria e riparazioni</v>
      </c>
      <c r="O553" s="131">
        <v>1532</v>
      </c>
      <c r="P553" s="614" t="str">
        <f>VLOOKUP(O553,'Centri di Costo'!$A$2:$B$179,2,FALSE)</f>
        <v>Attività ord. Vivaisitca Pian dei Spini</v>
      </c>
      <c r="Q553" s="623" t="s">
        <v>1999</v>
      </c>
      <c r="R553" s="642" t="s">
        <v>109</v>
      </c>
    </row>
    <row r="554" spans="1:18" ht="28.5" customHeight="1" outlineLevel="2">
      <c r="A554" s="85" t="s">
        <v>588</v>
      </c>
      <c r="B554" s="402" t="s">
        <v>1868</v>
      </c>
      <c r="C554" s="85" t="s">
        <v>599</v>
      </c>
      <c r="D554" s="148" t="s">
        <v>7</v>
      </c>
      <c r="E554" s="87">
        <v>2018</v>
      </c>
      <c r="F554" s="88">
        <v>126</v>
      </c>
      <c r="G554" s="120" t="s">
        <v>726</v>
      </c>
      <c r="H554" s="581" t="s">
        <v>723</v>
      </c>
      <c r="I554" s="601">
        <v>3800</v>
      </c>
      <c r="J554" s="595" t="s">
        <v>36</v>
      </c>
      <c r="K554" s="91">
        <v>1</v>
      </c>
      <c r="L554" s="91">
        <v>3</v>
      </c>
      <c r="M554" s="92">
        <v>49</v>
      </c>
      <c r="N554" s="119" t="str">
        <f>VLOOKUP(M554,'PF Uscite Sp. Corr.'!$C$1:$E$100,2,FALSE)</f>
        <v>Manutenzione ordinaria e riparazioni</v>
      </c>
      <c r="O554" s="131">
        <v>1532</v>
      </c>
      <c r="P554" s="614" t="str">
        <f>VLOOKUP(O554,'Centri di Costo'!$A$2:$B$179,2,FALSE)</f>
        <v>Attività ord. Vivaisitca Pian dei Spini</v>
      </c>
      <c r="Q554" s="623" t="s">
        <v>1999</v>
      </c>
      <c r="R554" s="642" t="s">
        <v>52</v>
      </c>
    </row>
    <row r="555" spans="1:18" ht="28.5" customHeight="1" outlineLevel="2">
      <c r="A555" s="85" t="s">
        <v>588</v>
      </c>
      <c r="B555" s="402" t="s">
        <v>1868</v>
      </c>
      <c r="C555" s="85" t="s">
        <v>599</v>
      </c>
      <c r="D555" s="148" t="s">
        <v>7</v>
      </c>
      <c r="E555" s="87">
        <v>2018</v>
      </c>
      <c r="F555" s="88">
        <v>126</v>
      </c>
      <c r="G555" s="120" t="s">
        <v>726</v>
      </c>
      <c r="H555" s="581" t="s">
        <v>733</v>
      </c>
      <c r="I555" s="601">
        <v>400</v>
      </c>
      <c r="J555" s="595" t="s">
        <v>36</v>
      </c>
      <c r="K555" s="91">
        <v>1</v>
      </c>
      <c r="L555" s="91">
        <v>3</v>
      </c>
      <c r="M555" s="92">
        <v>49</v>
      </c>
      <c r="N555" s="119" t="str">
        <f>VLOOKUP(M555,'PF Uscite Sp. Corr.'!$C$1:$E$100,2,FALSE)</f>
        <v>Manutenzione ordinaria e riparazioni</v>
      </c>
      <c r="O555" s="131">
        <v>1532</v>
      </c>
      <c r="P555" s="614" t="str">
        <f>VLOOKUP(O555,'Centri di Costo'!$A$2:$B$179,2,FALSE)</f>
        <v>Attività ord. Vivaisitca Pian dei Spini</v>
      </c>
      <c r="Q555" s="623" t="s">
        <v>1999</v>
      </c>
      <c r="R555" s="642" t="s">
        <v>647</v>
      </c>
    </row>
    <row r="556" spans="1:18" ht="28.5" customHeight="1" outlineLevel="2">
      <c r="A556" s="85" t="s">
        <v>588</v>
      </c>
      <c r="B556" s="402" t="s">
        <v>1868</v>
      </c>
      <c r="C556" s="85" t="s">
        <v>599</v>
      </c>
      <c r="D556" s="508" t="s">
        <v>561</v>
      </c>
      <c r="E556" s="87">
        <v>2018</v>
      </c>
      <c r="F556" s="88">
        <v>141</v>
      </c>
      <c r="G556" s="120" t="s">
        <v>738</v>
      </c>
      <c r="H556" s="581" t="s">
        <v>739</v>
      </c>
      <c r="I556" s="601">
        <v>2000</v>
      </c>
      <c r="J556" s="595" t="s">
        <v>36</v>
      </c>
      <c r="K556" s="91">
        <v>1</v>
      </c>
      <c r="L556" s="91">
        <v>3</v>
      </c>
      <c r="M556" s="92">
        <v>51</v>
      </c>
      <c r="N556" s="119" t="str">
        <f>VLOOKUP(M556,'PF Uscite Sp. Corr.'!$C$1:$E$100,2,FALSE)</f>
        <v>Prestazioni professionali e specialistiche</v>
      </c>
      <c r="O556" s="131">
        <v>1531</v>
      </c>
      <c r="P556" s="614" t="str">
        <f>VLOOKUP(O556,'Centri di Costo'!$A$2:$B$179,2,FALSE)</f>
        <v>Attività Ord. Vivaistica Montecchio</v>
      </c>
      <c r="Q556" s="623" t="s">
        <v>1999</v>
      </c>
      <c r="R556" s="640" t="s">
        <v>740</v>
      </c>
    </row>
    <row r="557" spans="1:18" ht="28.5" customHeight="1" outlineLevel="2">
      <c r="A557" s="85" t="s">
        <v>588</v>
      </c>
      <c r="B557" s="402" t="s">
        <v>1868</v>
      </c>
      <c r="C557" s="85" t="s">
        <v>599</v>
      </c>
      <c r="D557" s="508" t="s">
        <v>561</v>
      </c>
      <c r="E557" s="87">
        <v>2018</v>
      </c>
      <c r="F557" s="88">
        <v>141</v>
      </c>
      <c r="G557" s="120" t="s">
        <v>738</v>
      </c>
      <c r="H557" s="581" t="s">
        <v>741</v>
      </c>
      <c r="I557" s="601">
        <v>23000</v>
      </c>
      <c r="J557" s="595" t="s">
        <v>36</v>
      </c>
      <c r="K557" s="91">
        <v>1</v>
      </c>
      <c r="L557" s="91">
        <v>3</v>
      </c>
      <c r="M557" s="92">
        <v>51</v>
      </c>
      <c r="N557" s="119" t="str">
        <f>VLOOKUP(M557,'PF Uscite Sp. Corr.'!$C$1:$E$100,2,FALSE)</f>
        <v>Prestazioni professionali e specialistiche</v>
      </c>
      <c r="O557" s="131">
        <v>1531</v>
      </c>
      <c r="P557" s="614" t="str">
        <f>VLOOKUP(O557,'Centri di Costo'!$A$2:$B$179,2,FALSE)</f>
        <v>Attività Ord. Vivaistica Montecchio</v>
      </c>
      <c r="Q557" s="623" t="s">
        <v>1999</v>
      </c>
      <c r="R557" s="640" t="s">
        <v>592</v>
      </c>
    </row>
    <row r="558" spans="1:18" ht="28.5" customHeight="1" outlineLevel="2">
      <c r="A558" s="85" t="s">
        <v>588</v>
      </c>
      <c r="B558" s="402" t="s">
        <v>1868</v>
      </c>
      <c r="C558" s="85" t="s">
        <v>599</v>
      </c>
      <c r="D558" s="148" t="s">
        <v>7</v>
      </c>
      <c r="E558" s="87">
        <v>2018</v>
      </c>
      <c r="F558" s="88">
        <v>121</v>
      </c>
      <c r="G558" s="120" t="s">
        <v>699</v>
      </c>
      <c r="H558" s="581" t="s">
        <v>716</v>
      </c>
      <c r="I558" s="601">
        <v>500</v>
      </c>
      <c r="J558" s="595" t="s">
        <v>36</v>
      </c>
      <c r="K558" s="91">
        <v>1</v>
      </c>
      <c r="L558" s="91">
        <v>3</v>
      </c>
      <c r="M558" s="92">
        <v>51</v>
      </c>
      <c r="N558" s="119" t="str">
        <f>VLOOKUP(M558,'PF Uscite Sp. Corr.'!$C$1:$E$100,2,FALSE)</f>
        <v>Prestazioni professionali e specialistiche</v>
      </c>
      <c r="O558" s="131">
        <v>1531</v>
      </c>
      <c r="P558" s="614" t="str">
        <f>VLOOKUP(O558,'Centri di Costo'!$A$2:$B$179,2,FALSE)</f>
        <v>Attività Ord. Vivaistica Montecchio</v>
      </c>
      <c r="Q558" s="623" t="s">
        <v>1999</v>
      </c>
      <c r="R558" s="642" t="s">
        <v>87</v>
      </c>
    </row>
    <row r="559" spans="1:18" ht="28.5" customHeight="1" outlineLevel="2">
      <c r="A559" s="85" t="s">
        <v>588</v>
      </c>
      <c r="B559" s="402" t="s">
        <v>1868</v>
      </c>
      <c r="C559" s="85" t="s">
        <v>599</v>
      </c>
      <c r="D559" s="148" t="s">
        <v>7</v>
      </c>
      <c r="E559" s="87">
        <v>2018</v>
      </c>
      <c r="F559" s="88">
        <v>121</v>
      </c>
      <c r="G559" s="120" t="s">
        <v>699</v>
      </c>
      <c r="H559" s="581" t="s">
        <v>856</v>
      </c>
      <c r="I559" s="601">
        <v>2800</v>
      </c>
      <c r="J559" s="595" t="s">
        <v>36</v>
      </c>
      <c r="K559" s="91">
        <v>1</v>
      </c>
      <c r="L559" s="91">
        <v>3</v>
      </c>
      <c r="M559" s="92">
        <v>51</v>
      </c>
      <c r="N559" s="119" t="str">
        <f>VLOOKUP(M559,'PF Uscite Sp. Corr.'!$C$1:$E$100,2,FALSE)</f>
        <v>Prestazioni professionali e specialistiche</v>
      </c>
      <c r="O559" s="131">
        <v>1531</v>
      </c>
      <c r="P559" s="614" t="str">
        <f>VLOOKUP(O559,'Centri di Costo'!$A$2:$B$179,2,FALSE)</f>
        <v>Attività Ord. Vivaistica Montecchio</v>
      </c>
      <c r="Q559" s="619" t="s">
        <v>2029</v>
      </c>
      <c r="R559" s="642" t="s">
        <v>504</v>
      </c>
    </row>
    <row r="560" spans="1:18" ht="28.5" customHeight="1" outlineLevel="2">
      <c r="A560" s="85" t="s">
        <v>588</v>
      </c>
      <c r="B560" s="402" t="s">
        <v>1868</v>
      </c>
      <c r="C560" s="85" t="s">
        <v>599</v>
      </c>
      <c r="D560" s="148" t="s">
        <v>7</v>
      </c>
      <c r="E560" s="87">
        <v>2018</v>
      </c>
      <c r="F560" s="88">
        <v>121</v>
      </c>
      <c r="G560" s="120" t="s">
        <v>699</v>
      </c>
      <c r="H560" s="581" t="s">
        <v>1342</v>
      </c>
      <c r="I560" s="601">
        <v>9000</v>
      </c>
      <c r="J560" s="595" t="s">
        <v>36</v>
      </c>
      <c r="K560" s="91">
        <v>1</v>
      </c>
      <c r="L560" s="91">
        <v>3</v>
      </c>
      <c r="M560" s="92">
        <v>53</v>
      </c>
      <c r="N560" s="119" t="str">
        <f>VLOOKUP(M560,'PF Uscite Sp. Corr.'!$C$1:$E$100,2,FALSE)</f>
        <v>Servizi ausiliari per il funzionamento dell'ente</v>
      </c>
      <c r="O560" s="131">
        <v>1531</v>
      </c>
      <c r="P560" s="614" t="str">
        <f>VLOOKUP(O560,'Centri di Costo'!$A$2:$B$179,2,FALSE)</f>
        <v>Attività Ord. Vivaistica Montecchio</v>
      </c>
      <c r="Q560" s="623" t="s">
        <v>1999</v>
      </c>
      <c r="R560" s="642" t="s">
        <v>78</v>
      </c>
    </row>
    <row r="561" spans="1:18" ht="28.5" customHeight="1" outlineLevel="2">
      <c r="A561" s="85" t="s">
        <v>588</v>
      </c>
      <c r="B561" s="402" t="s">
        <v>1868</v>
      </c>
      <c r="C561" s="85" t="s">
        <v>599</v>
      </c>
      <c r="D561" s="148" t="s">
        <v>7</v>
      </c>
      <c r="E561" s="87">
        <v>2018</v>
      </c>
      <c r="F561" s="88">
        <v>121</v>
      </c>
      <c r="G561" s="120" t="s">
        <v>699</v>
      </c>
      <c r="H561" s="581" t="s">
        <v>1341</v>
      </c>
      <c r="I561" s="601">
        <v>1600</v>
      </c>
      <c r="J561" s="595" t="s">
        <v>36</v>
      </c>
      <c r="K561" s="91">
        <v>1</v>
      </c>
      <c r="L561" s="91">
        <v>3</v>
      </c>
      <c r="M561" s="92">
        <v>53</v>
      </c>
      <c r="N561" s="119" t="str">
        <f>VLOOKUP(M561,'PF Uscite Sp. Corr.'!$C$1:$E$100,2,FALSE)</f>
        <v>Servizi ausiliari per il funzionamento dell'ente</v>
      </c>
      <c r="O561" s="131">
        <v>1531</v>
      </c>
      <c r="P561" s="614" t="str">
        <f>VLOOKUP(O561,'Centri di Costo'!$A$2:$B$179,2,FALSE)</f>
        <v>Attività Ord. Vivaistica Montecchio</v>
      </c>
      <c r="Q561" s="623" t="s">
        <v>1999</v>
      </c>
      <c r="R561" s="642" t="s">
        <v>83</v>
      </c>
    </row>
    <row r="562" spans="1:18" ht="28.5" customHeight="1" outlineLevel="2">
      <c r="A562" s="85" t="s">
        <v>588</v>
      </c>
      <c r="B562" s="402" t="s">
        <v>1868</v>
      </c>
      <c r="C562" s="85" t="s">
        <v>599</v>
      </c>
      <c r="D562" s="148" t="s">
        <v>7</v>
      </c>
      <c r="E562" s="87">
        <v>2018</v>
      </c>
      <c r="F562" s="88">
        <v>121</v>
      </c>
      <c r="G562" s="120" t="s">
        <v>699</v>
      </c>
      <c r="H562" s="581" t="s">
        <v>1340</v>
      </c>
      <c r="I562" s="601">
        <v>5000</v>
      </c>
      <c r="J562" s="595" t="s">
        <v>36</v>
      </c>
      <c r="K562" s="91">
        <v>1</v>
      </c>
      <c r="L562" s="91">
        <v>3</v>
      </c>
      <c r="M562" s="92">
        <v>53</v>
      </c>
      <c r="N562" s="119" t="str">
        <f>VLOOKUP(M562,'PF Uscite Sp. Corr.'!$C$1:$E$100,2,FALSE)</f>
        <v>Servizi ausiliari per il funzionamento dell'ente</v>
      </c>
      <c r="O562" s="131">
        <v>1531</v>
      </c>
      <c r="P562" s="614" t="str">
        <f>VLOOKUP(O562,'Centri di Costo'!$A$2:$B$179,2,FALSE)</f>
        <v>Attività Ord. Vivaistica Montecchio</v>
      </c>
      <c r="Q562" s="623" t="s">
        <v>1999</v>
      </c>
      <c r="R562" s="642" t="s">
        <v>315</v>
      </c>
    </row>
    <row r="563" spans="1:18" ht="28.5" customHeight="1" outlineLevel="2">
      <c r="A563" s="85" t="s">
        <v>588</v>
      </c>
      <c r="B563" s="402" t="s">
        <v>1868</v>
      </c>
      <c r="C563" s="85" t="s">
        <v>599</v>
      </c>
      <c r="D563" s="148" t="s">
        <v>7</v>
      </c>
      <c r="E563" s="87">
        <v>2018</v>
      </c>
      <c r="F563" s="88">
        <v>121</v>
      </c>
      <c r="G563" s="120" t="s">
        <v>699</v>
      </c>
      <c r="H563" s="581" t="s">
        <v>1338</v>
      </c>
      <c r="I563" s="601">
        <v>500</v>
      </c>
      <c r="J563" s="595" t="s">
        <v>36</v>
      </c>
      <c r="K563" s="91">
        <v>1</v>
      </c>
      <c r="L563" s="91">
        <v>3</v>
      </c>
      <c r="M563" s="92">
        <v>53</v>
      </c>
      <c r="N563" s="119" t="str">
        <f>VLOOKUP(M563,'PF Uscite Sp. Corr.'!$C$1:$E$100,2,FALSE)</f>
        <v>Servizi ausiliari per il funzionamento dell'ente</v>
      </c>
      <c r="O563" s="131">
        <v>1531</v>
      </c>
      <c r="P563" s="614" t="str">
        <f>VLOOKUP(O563,'Centri di Costo'!$A$2:$B$179,2,FALSE)</f>
        <v>Attività Ord. Vivaistica Montecchio</v>
      </c>
      <c r="Q563" s="623" t="s">
        <v>1999</v>
      </c>
      <c r="R563" s="642" t="s">
        <v>54</v>
      </c>
    </row>
    <row r="564" spans="1:18" ht="28.5" customHeight="1" outlineLevel="2">
      <c r="A564" s="85" t="s">
        <v>588</v>
      </c>
      <c r="B564" s="402" t="s">
        <v>1868</v>
      </c>
      <c r="C564" s="85" t="s">
        <v>599</v>
      </c>
      <c r="D564" s="148" t="s">
        <v>7</v>
      </c>
      <c r="E564" s="87">
        <v>2018</v>
      </c>
      <c r="F564" s="88">
        <v>126</v>
      </c>
      <c r="G564" s="120" t="s">
        <v>726</v>
      </c>
      <c r="H564" s="581" t="s">
        <v>1339</v>
      </c>
      <c r="I564" s="601">
        <v>1000</v>
      </c>
      <c r="J564" s="595" t="s">
        <v>36</v>
      </c>
      <c r="K564" s="91">
        <v>1</v>
      </c>
      <c r="L564" s="91">
        <v>3</v>
      </c>
      <c r="M564" s="92">
        <v>53</v>
      </c>
      <c r="N564" s="119" t="str">
        <f>VLOOKUP(M564,'PF Uscite Sp. Corr.'!$C$1:$E$100,2,FALSE)</f>
        <v>Servizi ausiliari per il funzionamento dell'ente</v>
      </c>
      <c r="O564" s="131">
        <v>1532</v>
      </c>
      <c r="P564" s="614" t="str">
        <f>VLOOKUP(O564,'Centri di Costo'!$A$2:$B$179,2,FALSE)</f>
        <v>Attività ord. Vivaisitca Pian dei Spini</v>
      </c>
      <c r="Q564" s="623" t="s">
        <v>1999</v>
      </c>
      <c r="R564" s="642" t="s">
        <v>78</v>
      </c>
    </row>
    <row r="565" spans="1:18" ht="28.5" customHeight="1" outlineLevel="2">
      <c r="A565" s="85" t="s">
        <v>588</v>
      </c>
      <c r="B565" s="402" t="s">
        <v>1868</v>
      </c>
      <c r="C565" s="85" t="s">
        <v>599</v>
      </c>
      <c r="D565" s="148" t="s">
        <v>7</v>
      </c>
      <c r="E565" s="87">
        <v>2018</v>
      </c>
      <c r="F565" s="88">
        <v>121</v>
      </c>
      <c r="G565" s="120" t="s">
        <v>699</v>
      </c>
      <c r="H565" s="581" t="s">
        <v>714</v>
      </c>
      <c r="I565" s="601">
        <v>200</v>
      </c>
      <c r="J565" s="595" t="s">
        <v>36</v>
      </c>
      <c r="K565" s="91">
        <v>1</v>
      </c>
      <c r="L565" s="91">
        <v>3</v>
      </c>
      <c r="M565" s="92">
        <v>56</v>
      </c>
      <c r="N565" s="119" t="str">
        <f>VLOOKUP(M565,'PF Uscite Sp. Corr.'!$C$1:$E$100,2,FALSE)</f>
        <v>Servizi amministrativi</v>
      </c>
      <c r="O565" s="131">
        <v>1531</v>
      </c>
      <c r="P565" s="614" t="str">
        <f>VLOOKUP(O565,'Centri di Costo'!$A$2:$B$179,2,FALSE)</f>
        <v>Attività Ord. Vivaistica Montecchio</v>
      </c>
      <c r="Q565" s="623" t="s">
        <v>1999</v>
      </c>
      <c r="R565" s="642" t="s">
        <v>173</v>
      </c>
    </row>
    <row r="566" spans="1:18" ht="28.5" customHeight="1" outlineLevel="2">
      <c r="A566" s="85" t="s">
        <v>89</v>
      </c>
      <c r="B566" s="402" t="s">
        <v>1868</v>
      </c>
      <c r="C566" s="85" t="s">
        <v>150</v>
      </c>
      <c r="D566" s="148" t="s">
        <v>7</v>
      </c>
      <c r="E566" s="87">
        <v>2018</v>
      </c>
      <c r="F566" s="88">
        <v>133</v>
      </c>
      <c r="G566" s="120" t="s">
        <v>200</v>
      </c>
      <c r="H566" s="581" t="s">
        <v>206</v>
      </c>
      <c r="I566" s="601">
        <v>1000</v>
      </c>
      <c r="J566" s="595" t="s">
        <v>36</v>
      </c>
      <c r="K566" s="91">
        <v>1</v>
      </c>
      <c r="L566" s="91">
        <v>3</v>
      </c>
      <c r="M566" s="92">
        <v>59</v>
      </c>
      <c r="N566" s="119" t="str">
        <f>VLOOKUP(M566,'PF Uscite Sp. Corr.'!$C$1:$E$100,2,FALSE)</f>
        <v>Servizi informatici e di telecomunicazioni</v>
      </c>
      <c r="O566" s="131">
        <v>1531</v>
      </c>
      <c r="P566" s="614" t="str">
        <f>VLOOKUP(O566,'Centri di Costo'!$A$2:$B$179,2,FALSE)</f>
        <v>Attività Ord. Vivaistica Montecchio</v>
      </c>
      <c r="Q566" s="624" t="s">
        <v>2014</v>
      </c>
      <c r="R566" s="642" t="s">
        <v>202</v>
      </c>
    </row>
    <row r="567" spans="1:18" ht="28.5" customHeight="1" outlineLevel="2">
      <c r="A567" s="85" t="s">
        <v>588</v>
      </c>
      <c r="B567" s="402" t="s">
        <v>1868</v>
      </c>
      <c r="C567" s="85" t="s">
        <v>599</v>
      </c>
      <c r="D567" s="148" t="s">
        <v>7</v>
      </c>
      <c r="E567" s="87">
        <v>2018</v>
      </c>
      <c r="F567" s="88">
        <v>121</v>
      </c>
      <c r="G567" s="120" t="s">
        <v>699</v>
      </c>
      <c r="H567" s="581" t="s">
        <v>711</v>
      </c>
      <c r="I567" s="601">
        <v>3225</v>
      </c>
      <c r="J567" s="595" t="s">
        <v>36</v>
      </c>
      <c r="K567" s="91">
        <v>1</v>
      </c>
      <c r="L567" s="91">
        <v>10</v>
      </c>
      <c r="M567" s="92">
        <v>86</v>
      </c>
      <c r="N567" s="119" t="str">
        <f>VLOOKUP(M567,'PF Uscite Sp. Corr.'!$C$1:$E$100,2,FALSE)</f>
        <v>Premi di assicurazione contro i danni</v>
      </c>
      <c r="O567" s="131">
        <v>1531</v>
      </c>
      <c r="P567" s="614" t="str">
        <f>VLOOKUP(O567,'Centri di Costo'!$A$2:$B$179,2,FALSE)</f>
        <v>Attività Ord. Vivaistica Montecchio</v>
      </c>
      <c r="Q567" s="624" t="s">
        <v>2014</v>
      </c>
      <c r="R567" s="642" t="s">
        <v>59</v>
      </c>
    </row>
    <row r="568" spans="1:18" ht="28.5" customHeight="1" outlineLevel="2">
      <c r="A568" s="85" t="s">
        <v>588</v>
      </c>
      <c r="B568" s="402" t="s">
        <v>1868</v>
      </c>
      <c r="C568" s="85" t="s">
        <v>599</v>
      </c>
      <c r="D568" s="148" t="s">
        <v>7</v>
      </c>
      <c r="E568" s="87">
        <v>2018</v>
      </c>
      <c r="F568" s="88">
        <v>121</v>
      </c>
      <c r="G568" s="120" t="s">
        <v>699</v>
      </c>
      <c r="H568" s="581" t="s">
        <v>712</v>
      </c>
      <c r="I568" s="601">
        <v>2475</v>
      </c>
      <c r="J568" s="595" t="s">
        <v>36</v>
      </c>
      <c r="K568" s="91">
        <v>1</v>
      </c>
      <c r="L568" s="91">
        <v>10</v>
      </c>
      <c r="M568" s="92">
        <v>86</v>
      </c>
      <c r="N568" s="119" t="str">
        <f>VLOOKUP(M568,'PF Uscite Sp. Corr.'!$C$1:$E$100,2,FALSE)</f>
        <v>Premi di assicurazione contro i danni</v>
      </c>
      <c r="O568" s="131">
        <v>1531</v>
      </c>
      <c r="P568" s="614" t="str">
        <f>VLOOKUP(O568,'Centri di Costo'!$A$2:$B$179,2,FALSE)</f>
        <v>Attività Ord. Vivaistica Montecchio</v>
      </c>
      <c r="Q568" s="624" t="s">
        <v>2014</v>
      </c>
      <c r="R568" s="642" t="s">
        <v>56</v>
      </c>
    </row>
    <row r="569" spans="1:18" ht="28.5" customHeight="1" outlineLevel="2">
      <c r="A569" s="85" t="s">
        <v>588</v>
      </c>
      <c r="B569" s="402" t="s">
        <v>1868</v>
      </c>
      <c r="C569" s="85" t="s">
        <v>599</v>
      </c>
      <c r="D569" s="148" t="s">
        <v>7</v>
      </c>
      <c r="E569" s="87">
        <v>2018</v>
      </c>
      <c r="F569" s="88">
        <v>126</v>
      </c>
      <c r="G569" s="120" t="s">
        <v>726</v>
      </c>
      <c r="H569" s="581" t="s">
        <v>711</v>
      </c>
      <c r="I569" s="601">
        <v>1200</v>
      </c>
      <c r="J569" s="595" t="s">
        <v>36</v>
      </c>
      <c r="K569" s="91">
        <v>1</v>
      </c>
      <c r="L569" s="91">
        <v>10</v>
      </c>
      <c r="M569" s="92">
        <v>86</v>
      </c>
      <c r="N569" s="119" t="str">
        <f>VLOOKUP(M569,'PF Uscite Sp. Corr.'!$C$1:$E$100,2,FALSE)</f>
        <v>Premi di assicurazione contro i danni</v>
      </c>
      <c r="O569" s="131">
        <v>1532</v>
      </c>
      <c r="P569" s="614" t="str">
        <f>VLOOKUP(O569,'Centri di Costo'!$A$2:$B$179,2,FALSE)</f>
        <v>Attività ord. Vivaisitca Pian dei Spini</v>
      </c>
      <c r="Q569" s="624" t="s">
        <v>2014</v>
      </c>
      <c r="R569" s="642" t="s">
        <v>59</v>
      </c>
    </row>
    <row r="570" spans="1:18" s="139" customFormat="1" ht="28.5" customHeight="1" outlineLevel="2">
      <c r="A570" s="115" t="s">
        <v>588</v>
      </c>
      <c r="B570" s="404" t="s">
        <v>1868</v>
      </c>
      <c r="C570" s="115" t="s">
        <v>599</v>
      </c>
      <c r="D570" s="417" t="s">
        <v>7</v>
      </c>
      <c r="E570" s="412">
        <v>2018</v>
      </c>
      <c r="F570" s="413">
        <v>126</v>
      </c>
      <c r="G570" s="123" t="s">
        <v>726</v>
      </c>
      <c r="H570" s="583" t="s">
        <v>730</v>
      </c>
      <c r="I570" s="603">
        <v>500</v>
      </c>
      <c r="J570" s="596" t="s">
        <v>36</v>
      </c>
      <c r="K570" s="216">
        <v>1</v>
      </c>
      <c r="L570" s="216">
        <v>10</v>
      </c>
      <c r="M570" s="418">
        <v>86</v>
      </c>
      <c r="N570" s="118" t="str">
        <f>VLOOKUP(M570,'PF Uscite Sp. Corr.'!$C$1:$E$100,2,FALSE)</f>
        <v>Premi di assicurazione contro i danni</v>
      </c>
      <c r="O570" s="419">
        <v>1532</v>
      </c>
      <c r="P570" s="615" t="str">
        <f>VLOOKUP(O570,'Centri di Costo'!$A$2:$B$179,2,FALSE)</f>
        <v>Attività ord. Vivaisitca Pian dei Spini</v>
      </c>
      <c r="Q570" s="624" t="s">
        <v>2014</v>
      </c>
      <c r="R570" s="648" t="s">
        <v>56</v>
      </c>
    </row>
    <row r="571" spans="1:18" s="215" customFormat="1" ht="20.25" customHeight="1" outlineLevel="1" collapsed="1">
      <c r="A571" s="160"/>
      <c r="B571" s="433" t="s">
        <v>1903</v>
      </c>
      <c r="C571" s="161"/>
      <c r="D571" s="437"/>
      <c r="E571" s="438"/>
      <c r="F571" s="438"/>
      <c r="G571" s="441" t="s">
        <v>1938</v>
      </c>
      <c r="H571" s="214" t="s">
        <v>1949</v>
      </c>
      <c r="I571" s="605">
        <f>SUBTOTAL(9,I509:I570)</f>
        <v>413314</v>
      </c>
      <c r="J571" s="212"/>
      <c r="K571" s="179"/>
      <c r="L571" s="179"/>
      <c r="M571" s="213"/>
      <c r="N571" s="434"/>
      <c r="O571" s="439"/>
      <c r="P571" s="435"/>
      <c r="Q571" s="620"/>
      <c r="R571" s="645"/>
    </row>
    <row r="572" spans="1:18" s="205" customFormat="1" ht="13.5" customHeight="1">
      <c r="A572" s="535"/>
      <c r="B572" s="536"/>
      <c r="C572" s="537"/>
      <c r="D572" s="537"/>
      <c r="E572" s="537"/>
      <c r="F572" s="540"/>
      <c r="G572" s="537" t="str">
        <f>C573</f>
        <v>SETTORE BIOENERGIE E CAMBIAMENTO CLIMATICO</v>
      </c>
      <c r="H572" s="537"/>
      <c r="I572" s="599"/>
      <c r="J572" s="537"/>
      <c r="K572" s="537"/>
      <c r="L572" s="537"/>
      <c r="M572" s="537"/>
      <c r="N572" s="537"/>
      <c r="O572" s="538"/>
      <c r="P572" s="539"/>
      <c r="Q572" s="618"/>
      <c r="R572" s="638"/>
    </row>
    <row r="573" spans="1:18" ht="28.5" customHeight="1" outlineLevel="2">
      <c r="A573" s="396" t="s">
        <v>588</v>
      </c>
      <c r="B573" s="404">
        <v>13</v>
      </c>
      <c r="C573" s="396" t="s">
        <v>752</v>
      </c>
      <c r="D573" s="522" t="s">
        <v>561</v>
      </c>
      <c r="E573" s="422">
        <v>2018</v>
      </c>
      <c r="F573" s="423">
        <v>151</v>
      </c>
      <c r="G573" s="208" t="s">
        <v>753</v>
      </c>
      <c r="H573" s="584" t="s">
        <v>1572</v>
      </c>
      <c r="I573" s="604">
        <v>12000</v>
      </c>
      <c r="J573" s="597" t="s">
        <v>9</v>
      </c>
      <c r="K573" s="248">
        <v>1</v>
      </c>
      <c r="L573" s="248">
        <v>3</v>
      </c>
      <c r="M573" s="248">
        <v>51</v>
      </c>
      <c r="N573" s="415" t="str">
        <f>VLOOKUP(M573,'PF Uscite Sp. Corr.'!$C$1:$E$100,2,FALSE)</f>
        <v>Prestazioni professionali e specialistiche</v>
      </c>
      <c r="O573" s="424">
        <v>1300</v>
      </c>
      <c r="P573" s="616" t="str">
        <f>VLOOKUP(O573,'Centri di Costo'!$A$2:$B$179,2,FALSE)</f>
        <v>Bioenergie e C.C. - Att. Ordinaria</v>
      </c>
      <c r="Q573" s="619" t="s">
        <v>2000</v>
      </c>
      <c r="R573" s="651" t="s">
        <v>230</v>
      </c>
    </row>
    <row r="574" spans="1:18" s="139" customFormat="1" ht="28.5" customHeight="1" outlineLevel="2">
      <c r="A574" s="397" t="s">
        <v>588</v>
      </c>
      <c r="B574" s="403">
        <v>13</v>
      </c>
      <c r="C574" s="397" t="s">
        <v>752</v>
      </c>
      <c r="D574" s="523" t="s">
        <v>561</v>
      </c>
      <c r="E574" s="141">
        <v>2018</v>
      </c>
      <c r="F574" s="88">
        <v>151</v>
      </c>
      <c r="G574" s="124" t="s">
        <v>753</v>
      </c>
      <c r="H574" s="124" t="s">
        <v>754</v>
      </c>
      <c r="I574" s="604">
        <v>8000</v>
      </c>
      <c r="J574" s="135" t="s">
        <v>9</v>
      </c>
      <c r="K574" s="136">
        <v>1</v>
      </c>
      <c r="L574" s="136">
        <v>3</v>
      </c>
      <c r="M574" s="203">
        <v>51</v>
      </c>
      <c r="N574" s="129" t="str">
        <f>VLOOKUP(M574,'PF Uscite Sp. Corr.'!$C$1:$E$100,2,FALSE)</f>
        <v>Prestazioni professionali e specialistiche</v>
      </c>
      <c r="O574" s="395">
        <v>1300</v>
      </c>
      <c r="P574" s="170" t="str">
        <f>VLOOKUP(O574,'Centri di Costo'!$A$2:$B$179,2,FALSE)</f>
        <v>Bioenergie e C.C. - Att. Ordinaria</v>
      </c>
      <c r="Q574" s="619" t="s">
        <v>2000</v>
      </c>
      <c r="R574" s="652" t="s">
        <v>755</v>
      </c>
    </row>
    <row r="575" spans="1:18" ht="28.5" customHeight="1" outlineLevel="2">
      <c r="A575" s="94" t="s">
        <v>89</v>
      </c>
      <c r="B575" s="403">
        <v>13</v>
      </c>
      <c r="C575" s="94" t="s">
        <v>233</v>
      </c>
      <c r="D575" s="149" t="s">
        <v>7</v>
      </c>
      <c r="E575" s="101">
        <v>2018</v>
      </c>
      <c r="F575" s="102">
        <v>274</v>
      </c>
      <c r="G575" s="121" t="s">
        <v>237</v>
      </c>
      <c r="H575" s="580" t="s">
        <v>244</v>
      </c>
      <c r="I575" s="600">
        <v>500</v>
      </c>
      <c r="J575" s="594" t="s">
        <v>9</v>
      </c>
      <c r="K575" s="99">
        <v>1</v>
      </c>
      <c r="L575" s="99">
        <v>3</v>
      </c>
      <c r="M575" s="113">
        <v>55</v>
      </c>
      <c r="N575" s="128" t="str">
        <f>VLOOKUP(M575,'PF Uscite Sp. Corr.'!$C$1:$E$100,2,FALSE)</f>
        <v>Altri servizi</v>
      </c>
      <c r="O575" s="132">
        <v>1300</v>
      </c>
      <c r="P575" s="613" t="str">
        <f>VLOOKUP(O575,'Centri di Costo'!$A$2:$B$179,2,FALSE)</f>
        <v>Bioenergie e C.C. - Att. Ordinaria</v>
      </c>
      <c r="Q575" s="619" t="s">
        <v>2000</v>
      </c>
      <c r="R575" s="639" t="s">
        <v>239</v>
      </c>
    </row>
    <row r="576" spans="1:18" s="139" customFormat="1" ht="28.5" customHeight="1" outlineLevel="2">
      <c r="A576" s="115" t="s">
        <v>89</v>
      </c>
      <c r="B576" s="404">
        <v>13</v>
      </c>
      <c r="C576" s="115" t="s">
        <v>233</v>
      </c>
      <c r="D576" s="417" t="s">
        <v>7</v>
      </c>
      <c r="E576" s="412">
        <v>2018</v>
      </c>
      <c r="F576" s="413">
        <v>274</v>
      </c>
      <c r="G576" s="123" t="s">
        <v>237</v>
      </c>
      <c r="H576" s="583" t="s">
        <v>1054</v>
      </c>
      <c r="I576" s="603">
        <v>500</v>
      </c>
      <c r="J576" s="596" t="s">
        <v>9</v>
      </c>
      <c r="K576" s="216">
        <v>1</v>
      </c>
      <c r="L576" s="216">
        <v>3</v>
      </c>
      <c r="M576" s="418">
        <v>55</v>
      </c>
      <c r="N576" s="118" t="str">
        <f>VLOOKUP(M576,'PF Uscite Sp. Corr.'!$C$1:$E$100,2,FALSE)</f>
        <v>Altri servizi</v>
      </c>
      <c r="O576" s="419">
        <v>1300</v>
      </c>
      <c r="P576" s="615" t="str">
        <f>VLOOKUP(O576,'Centri di Costo'!$A$2:$B$179,2,FALSE)</f>
        <v>Bioenergie e C.C. - Att. Ordinaria</v>
      </c>
      <c r="Q576" s="619" t="s">
        <v>2000</v>
      </c>
      <c r="R576" s="648" t="s">
        <v>239</v>
      </c>
    </row>
    <row r="577" spans="1:18" s="215" customFormat="1" ht="20.25" customHeight="1" outlineLevel="1" collapsed="1">
      <c r="A577" s="160"/>
      <c r="B577" s="433" t="s">
        <v>1904</v>
      </c>
      <c r="C577" s="161"/>
      <c r="D577" s="437"/>
      <c r="E577" s="438"/>
      <c r="F577" s="438"/>
      <c r="G577" s="441" t="s">
        <v>1938</v>
      </c>
      <c r="H577" s="214" t="s">
        <v>1950</v>
      </c>
      <c r="I577" s="605">
        <f>SUBTOTAL(9,I573:I576)</f>
        <v>21000</v>
      </c>
      <c r="J577" s="212"/>
      <c r="K577" s="179"/>
      <c r="L577" s="179"/>
      <c r="M577" s="213"/>
      <c r="N577" s="434"/>
      <c r="O577" s="439"/>
      <c r="P577" s="435"/>
      <c r="Q577" s="620"/>
      <c r="R577" s="645"/>
    </row>
    <row r="578" spans="1:18" s="205" customFormat="1" ht="13.5" customHeight="1">
      <c r="A578" s="535"/>
      <c r="B578" s="536"/>
      <c r="C578" s="537"/>
      <c r="D578" s="537"/>
      <c r="E578" s="537"/>
      <c r="F578" s="540"/>
      <c r="G578" s="537" t="str">
        <f>C579</f>
        <v>DIREZIONE SEZ.RICERCA E GEST.AGROFORESTALI</v>
      </c>
      <c r="H578" s="537"/>
      <c r="I578" s="599"/>
      <c r="J578" s="537"/>
      <c r="K578" s="537"/>
      <c r="L578" s="537"/>
      <c r="M578" s="537"/>
      <c r="N578" s="537"/>
      <c r="O578" s="538"/>
      <c r="P578" s="539"/>
      <c r="Q578" s="618"/>
      <c r="R578" s="638"/>
    </row>
    <row r="579" spans="1:18" ht="38.25" customHeight="1" outlineLevel="2">
      <c r="A579" s="94" t="s">
        <v>588</v>
      </c>
      <c r="B579" s="402">
        <v>19</v>
      </c>
      <c r="C579" s="94" t="s">
        <v>589</v>
      </c>
      <c r="D579" s="149" t="s">
        <v>7</v>
      </c>
      <c r="E579" s="101">
        <v>2018</v>
      </c>
      <c r="F579" s="102">
        <v>223</v>
      </c>
      <c r="G579" s="121" t="s">
        <v>590</v>
      </c>
      <c r="H579" s="580" t="s">
        <v>591</v>
      </c>
      <c r="I579" s="600">
        <v>3000</v>
      </c>
      <c r="J579" s="594" t="s">
        <v>9</v>
      </c>
      <c r="K579" s="99">
        <v>1</v>
      </c>
      <c r="L579" s="99">
        <v>3</v>
      </c>
      <c r="M579" s="113">
        <v>51</v>
      </c>
      <c r="N579" s="128" t="str">
        <f>VLOOKUP(M579,'PF Uscite Sp. Corr.'!$C$1:$E$100,2,FALSE)</f>
        <v>Prestazioni professionali e specialistiche</v>
      </c>
      <c r="O579" s="132">
        <v>1992</v>
      </c>
      <c r="P579" s="613" t="str">
        <f>VLOOKUP(O579,'Centri di Costo'!$A$2:$B$179,2,FALSE)</f>
        <v>Attività generale Sez. REGAF</v>
      </c>
      <c r="Q579" s="619" t="s">
        <v>2001</v>
      </c>
      <c r="R579" s="639" t="s">
        <v>592</v>
      </c>
    </row>
    <row r="580" spans="1:18" ht="36.75" customHeight="1" outlineLevel="2">
      <c r="A580" s="85" t="s">
        <v>588</v>
      </c>
      <c r="B580" s="400">
        <v>19</v>
      </c>
      <c r="C580" s="85" t="s">
        <v>589</v>
      </c>
      <c r="D580" s="148" t="s">
        <v>7</v>
      </c>
      <c r="E580" s="87">
        <v>2018</v>
      </c>
      <c r="F580" s="88">
        <v>223</v>
      </c>
      <c r="G580" s="120" t="s">
        <v>590</v>
      </c>
      <c r="H580" s="581" t="s">
        <v>593</v>
      </c>
      <c r="I580" s="601">
        <v>20000</v>
      </c>
      <c r="J580" s="595" t="s">
        <v>9</v>
      </c>
      <c r="K580" s="91">
        <v>1</v>
      </c>
      <c r="L580" s="91">
        <v>3</v>
      </c>
      <c r="M580" s="92">
        <v>51</v>
      </c>
      <c r="N580" s="119" t="str">
        <f>VLOOKUP(M580,'PF Uscite Sp. Corr.'!$C$1:$E$100,2,FALSE)</f>
        <v>Prestazioni professionali e specialistiche</v>
      </c>
      <c r="O580" s="131">
        <v>1992</v>
      </c>
      <c r="P580" s="614" t="str">
        <f>VLOOKUP(O580,'Centri di Costo'!$A$2:$B$179,2,FALSE)</f>
        <v>Attività generale Sez. REGAF</v>
      </c>
      <c r="Q580" s="619" t="s">
        <v>2001</v>
      </c>
      <c r="R580" s="642" t="s">
        <v>592</v>
      </c>
    </row>
    <row r="581" spans="1:18" ht="36.75" customHeight="1" outlineLevel="2">
      <c r="A581" s="85" t="s">
        <v>588</v>
      </c>
      <c r="B581" s="400">
        <v>19</v>
      </c>
      <c r="C581" s="85" t="s">
        <v>589</v>
      </c>
      <c r="D581" s="148" t="s">
        <v>7</v>
      </c>
      <c r="E581" s="87">
        <v>2018</v>
      </c>
      <c r="F581" s="88">
        <v>223</v>
      </c>
      <c r="G581" s="120" t="s">
        <v>590</v>
      </c>
      <c r="H581" s="581" t="s">
        <v>594</v>
      </c>
      <c r="I581" s="601">
        <v>0</v>
      </c>
      <c r="J581" s="595" t="s">
        <v>9</v>
      </c>
      <c r="K581" s="91">
        <v>1</v>
      </c>
      <c r="L581" s="91">
        <v>3</v>
      </c>
      <c r="M581" s="92">
        <v>51</v>
      </c>
      <c r="N581" s="119" t="str">
        <f>VLOOKUP(M581,'PF Uscite Sp. Corr.'!$C$1:$E$100,2,FALSE)</f>
        <v>Prestazioni professionali e specialistiche</v>
      </c>
      <c r="O581" s="131">
        <v>1992</v>
      </c>
      <c r="P581" s="614" t="str">
        <f>VLOOKUP(O581,'Centri di Costo'!$A$2:$B$179,2,FALSE)</f>
        <v>Attività generale Sez. REGAF</v>
      </c>
      <c r="Q581" s="619" t="s">
        <v>2001</v>
      </c>
      <c r="R581" s="642" t="s">
        <v>592</v>
      </c>
    </row>
    <row r="582" spans="1:18" ht="36.75" customHeight="1" outlineLevel="2">
      <c r="A582" s="85" t="s">
        <v>588</v>
      </c>
      <c r="B582" s="400">
        <v>19</v>
      </c>
      <c r="C582" s="85" t="s">
        <v>589</v>
      </c>
      <c r="D582" s="148" t="s">
        <v>7</v>
      </c>
      <c r="E582" s="87">
        <v>2018</v>
      </c>
      <c r="F582" s="88">
        <v>223</v>
      </c>
      <c r="G582" s="120" t="s">
        <v>590</v>
      </c>
      <c r="H582" s="581" t="s">
        <v>595</v>
      </c>
      <c r="I582" s="601">
        <v>12000</v>
      </c>
      <c r="J582" s="595" t="s">
        <v>9</v>
      </c>
      <c r="K582" s="91">
        <v>1</v>
      </c>
      <c r="L582" s="91">
        <v>3</v>
      </c>
      <c r="M582" s="92">
        <v>51</v>
      </c>
      <c r="N582" s="119" t="str">
        <f>VLOOKUP(M582,'PF Uscite Sp. Corr.'!$C$1:$E$100,2,FALSE)</f>
        <v>Prestazioni professionali e specialistiche</v>
      </c>
      <c r="O582" s="131">
        <v>1992</v>
      </c>
      <c r="P582" s="614" t="str">
        <f>VLOOKUP(O582,'Centri di Costo'!$A$2:$B$179,2,FALSE)</f>
        <v>Attività generale Sez. REGAF</v>
      </c>
      <c r="Q582" s="619" t="s">
        <v>2001</v>
      </c>
      <c r="R582" s="642" t="s">
        <v>592</v>
      </c>
    </row>
    <row r="583" spans="1:18" ht="36.75" customHeight="1" outlineLevel="2">
      <c r="A583" s="85" t="s">
        <v>588</v>
      </c>
      <c r="B583" s="400">
        <v>19</v>
      </c>
      <c r="C583" s="85" t="s">
        <v>589</v>
      </c>
      <c r="D583" s="148" t="s">
        <v>7</v>
      </c>
      <c r="E583" s="87">
        <v>2018</v>
      </c>
      <c r="F583" s="88">
        <v>223</v>
      </c>
      <c r="G583" s="120" t="s">
        <v>590</v>
      </c>
      <c r="H583" s="581" t="s">
        <v>596</v>
      </c>
      <c r="I583" s="601">
        <v>5000</v>
      </c>
      <c r="J583" s="595" t="s">
        <v>9</v>
      </c>
      <c r="K583" s="91">
        <v>1</v>
      </c>
      <c r="L583" s="91">
        <v>3</v>
      </c>
      <c r="M583" s="92">
        <v>51</v>
      </c>
      <c r="N583" s="119" t="str">
        <f>VLOOKUP(M583,'PF Uscite Sp. Corr.'!$C$1:$E$100,2,FALSE)</f>
        <v>Prestazioni professionali e specialistiche</v>
      </c>
      <c r="O583" s="131">
        <v>1992</v>
      </c>
      <c r="P583" s="614" t="str">
        <f>VLOOKUP(O583,'Centri di Costo'!$A$2:$B$179,2,FALSE)</f>
        <v>Attività generale Sez. REGAF</v>
      </c>
      <c r="Q583" s="619" t="s">
        <v>2001</v>
      </c>
      <c r="R583" s="642" t="s">
        <v>592</v>
      </c>
    </row>
    <row r="584" spans="1:18" s="139" customFormat="1" ht="28.5" customHeight="1" outlineLevel="2">
      <c r="A584" s="115" t="s">
        <v>588</v>
      </c>
      <c r="B584" s="401">
        <v>19</v>
      </c>
      <c r="C584" s="115" t="s">
        <v>589</v>
      </c>
      <c r="D584" s="417" t="s">
        <v>7</v>
      </c>
      <c r="E584" s="412">
        <v>2018</v>
      </c>
      <c r="F584" s="413">
        <v>223</v>
      </c>
      <c r="G584" s="123" t="s">
        <v>590</v>
      </c>
      <c r="H584" s="583" t="s">
        <v>597</v>
      </c>
      <c r="I584" s="603">
        <v>10000</v>
      </c>
      <c r="J584" s="596" t="s">
        <v>9</v>
      </c>
      <c r="K584" s="216">
        <v>1</v>
      </c>
      <c r="L584" s="216">
        <v>3</v>
      </c>
      <c r="M584" s="418">
        <v>51</v>
      </c>
      <c r="N584" s="118" t="str">
        <f>VLOOKUP(M584,'PF Uscite Sp. Corr.'!$C$1:$E$100,2,FALSE)</f>
        <v>Prestazioni professionali e specialistiche</v>
      </c>
      <c r="O584" s="419">
        <v>1992</v>
      </c>
      <c r="P584" s="615" t="str">
        <f>VLOOKUP(O584,'Centri di Costo'!$A$2:$B$179,2,FALSE)</f>
        <v>Attività generale Sez. REGAF</v>
      </c>
      <c r="Q584" s="619" t="s">
        <v>2001</v>
      </c>
      <c r="R584" s="648" t="s">
        <v>592</v>
      </c>
    </row>
    <row r="585" spans="1:18" s="215" customFormat="1" ht="20.25" customHeight="1" outlineLevel="1" collapsed="1">
      <c r="A585" s="160"/>
      <c r="B585" s="433" t="s">
        <v>1905</v>
      </c>
      <c r="C585" s="161"/>
      <c r="D585" s="437"/>
      <c r="E585" s="438"/>
      <c r="F585" s="438"/>
      <c r="G585" s="441" t="s">
        <v>1938</v>
      </c>
      <c r="H585" s="505" t="s">
        <v>1953</v>
      </c>
      <c r="I585" s="605">
        <f>SUBTOTAL(9,I579:I584)</f>
        <v>50000</v>
      </c>
      <c r="J585" s="212"/>
      <c r="K585" s="179"/>
      <c r="L585" s="179"/>
      <c r="M585" s="213"/>
      <c r="N585" s="434"/>
      <c r="O585" s="439"/>
      <c r="P585" s="435"/>
      <c r="Q585" s="620"/>
      <c r="R585" s="645"/>
    </row>
    <row r="586" spans="1:18" s="139" customFormat="1" ht="55.5" customHeight="1" outlineLevel="2">
      <c r="A586" s="397" t="s">
        <v>89</v>
      </c>
      <c r="B586" s="401" t="s">
        <v>1951</v>
      </c>
      <c r="C586" s="397" t="s">
        <v>150</v>
      </c>
      <c r="D586" s="511" t="s">
        <v>7</v>
      </c>
      <c r="E586" s="141">
        <v>2018</v>
      </c>
      <c r="F586" s="413">
        <v>228</v>
      </c>
      <c r="G586" s="124" t="s">
        <v>157</v>
      </c>
      <c r="H586" s="124" t="s">
        <v>2005</v>
      </c>
      <c r="I586" s="604">
        <v>5000</v>
      </c>
      <c r="J586" s="135" t="s">
        <v>9</v>
      </c>
      <c r="K586" s="136">
        <v>1</v>
      </c>
      <c r="L586" s="136">
        <v>10</v>
      </c>
      <c r="M586" s="203">
        <v>96</v>
      </c>
      <c r="N586" s="129" t="str">
        <f>VLOOKUP(M586,'PF Uscite Sp. Corr.'!$C$1:$E$100,2,FALSE)</f>
        <v>Altre spese correnti n.a.c.</v>
      </c>
      <c r="O586" s="395">
        <v>1991</v>
      </c>
      <c r="P586" s="170" t="str">
        <f>VLOOKUP(O586,'Centri di Costo'!$A$2:$B$179,2,FALSE)</f>
        <v>Fondo per la Sicurezza -  Sez. REGAF</v>
      </c>
      <c r="Q586" s="619" t="s">
        <v>2001</v>
      </c>
      <c r="R586" s="644" t="s">
        <v>34</v>
      </c>
    </row>
    <row r="587" spans="1:18" s="215" customFormat="1" ht="20.25" customHeight="1" outlineLevel="1" collapsed="1">
      <c r="A587" s="160"/>
      <c r="B587" s="433" t="s">
        <v>1952</v>
      </c>
      <c r="C587" s="161"/>
      <c r="D587" s="437"/>
      <c r="E587" s="438"/>
      <c r="F587" s="438"/>
      <c r="G587" s="441" t="s">
        <v>1938</v>
      </c>
      <c r="H587" s="505" t="s">
        <v>1954</v>
      </c>
      <c r="I587" s="605">
        <f>SUBTOTAL(9,I586)</f>
        <v>5000</v>
      </c>
      <c r="J587" s="212"/>
      <c r="K587" s="179"/>
      <c r="L587" s="179"/>
      <c r="M587" s="213"/>
      <c r="N587" s="434"/>
      <c r="O587" s="439"/>
      <c r="P587" s="435"/>
      <c r="Q587" s="620"/>
      <c r="R587" s="645"/>
    </row>
    <row r="588" spans="1:18" s="205" customFormat="1" ht="13.5" customHeight="1">
      <c r="A588" s="535"/>
      <c r="B588" s="536"/>
      <c r="C588" s="537"/>
      <c r="D588" s="537"/>
      <c r="E588" s="537"/>
      <c r="F588" s="540"/>
      <c r="G588" s="540" t="s">
        <v>2002</v>
      </c>
      <c r="H588" s="537"/>
      <c r="I588" s="599"/>
      <c r="J588" s="537"/>
      <c r="K588" s="537"/>
      <c r="L588" s="537"/>
      <c r="M588" s="537"/>
      <c r="N588" s="537"/>
      <c r="O588" s="538"/>
      <c r="P588" s="539"/>
      <c r="Q588" s="618"/>
      <c r="R588" s="638"/>
    </row>
    <row r="589" spans="1:18" ht="28.5" customHeight="1" outlineLevel="2">
      <c r="A589" s="94" t="s">
        <v>308</v>
      </c>
      <c r="B589" s="402">
        <v>22</v>
      </c>
      <c r="C589" s="94" t="s">
        <v>309</v>
      </c>
      <c r="D589" s="149" t="s">
        <v>7</v>
      </c>
      <c r="E589" s="101">
        <v>2018</v>
      </c>
      <c r="F589" s="102">
        <v>44</v>
      </c>
      <c r="G589" s="121" t="s">
        <v>347</v>
      </c>
      <c r="H589" s="580" t="s">
        <v>362</v>
      </c>
      <c r="I589" s="600">
        <v>1000</v>
      </c>
      <c r="J589" s="594" t="s">
        <v>9</v>
      </c>
      <c r="K589" s="99">
        <v>1</v>
      </c>
      <c r="L589" s="99">
        <v>2</v>
      </c>
      <c r="M589" s="113">
        <v>12</v>
      </c>
      <c r="N589" s="128" t="str">
        <f>VLOOKUP(M589,'PF Uscite Sp. Corr.'!$C$1:$E$100,2,FALSE)</f>
        <v>Imposta di registro e di bollo</v>
      </c>
      <c r="O589" s="132">
        <v>2080</v>
      </c>
      <c r="P589" s="613" t="str">
        <f>VLOOKUP(O589,'Centri di Costo'!$A$2:$B$179,2,FALSE)</f>
        <v>Att. Ord. Thiene - Spese Generali</v>
      </c>
      <c r="Q589" s="622" t="s">
        <v>1844</v>
      </c>
      <c r="R589" s="639" t="s">
        <v>47</v>
      </c>
    </row>
    <row r="590" spans="1:18" ht="28.5" customHeight="1" outlineLevel="2">
      <c r="A590" s="85" t="s">
        <v>308</v>
      </c>
      <c r="B590" s="402">
        <v>22</v>
      </c>
      <c r="C590" s="85" t="s">
        <v>309</v>
      </c>
      <c r="D590" s="148" t="s">
        <v>7</v>
      </c>
      <c r="E590" s="87">
        <v>2018</v>
      </c>
      <c r="F590" s="88">
        <v>44</v>
      </c>
      <c r="G590" s="120" t="s">
        <v>347</v>
      </c>
      <c r="H590" s="581" t="s">
        <v>366</v>
      </c>
      <c r="I590" s="601">
        <v>5000</v>
      </c>
      <c r="J590" s="595" t="s">
        <v>9</v>
      </c>
      <c r="K590" s="91">
        <v>1</v>
      </c>
      <c r="L590" s="91">
        <v>2</v>
      </c>
      <c r="M590" s="92">
        <v>16</v>
      </c>
      <c r="N590" s="119" t="str">
        <f>VLOOKUP(M590,'PF Uscite Sp. Corr.'!$C$1:$E$100,2,FALSE)</f>
        <v>Tassa e/o tariffa smaltimento rifiuti solidi urbani</v>
      </c>
      <c r="O590" s="131">
        <v>2080</v>
      </c>
      <c r="P590" s="614" t="str">
        <f>VLOOKUP(O590,'Centri di Costo'!$A$2:$B$179,2,FALSE)</f>
        <v>Att. Ord. Thiene - Spese Generali</v>
      </c>
      <c r="Q590" s="622" t="s">
        <v>1844</v>
      </c>
      <c r="R590" s="642" t="s">
        <v>71</v>
      </c>
    </row>
    <row r="591" spans="1:18" ht="28.5" customHeight="1" outlineLevel="2">
      <c r="A591" s="85" t="s">
        <v>308</v>
      </c>
      <c r="B591" s="402">
        <v>22</v>
      </c>
      <c r="C591" s="85" t="s">
        <v>309</v>
      </c>
      <c r="D591" s="148" t="s">
        <v>7</v>
      </c>
      <c r="E591" s="87">
        <v>2018</v>
      </c>
      <c r="F591" s="88">
        <v>44</v>
      </c>
      <c r="G591" s="120" t="s">
        <v>347</v>
      </c>
      <c r="H591" s="581" t="s">
        <v>360</v>
      </c>
      <c r="I591" s="601">
        <v>1000</v>
      </c>
      <c r="J591" s="595" t="s">
        <v>9</v>
      </c>
      <c r="K591" s="91">
        <v>1</v>
      </c>
      <c r="L591" s="91">
        <v>2</v>
      </c>
      <c r="M591" s="92">
        <v>19</v>
      </c>
      <c r="N591" s="119" t="str">
        <f>VLOOKUP(M591,'PF Uscite Sp. Corr.'!$C$1:$E$100,2,FALSE)</f>
        <v>Tassa di circolazione dei veicoli a motore (tassa automobilistica)</v>
      </c>
      <c r="O591" s="131">
        <v>2080</v>
      </c>
      <c r="P591" s="614" t="str">
        <f>VLOOKUP(O591,'Centri di Costo'!$A$2:$B$179,2,FALSE)</f>
        <v>Att. Ord. Thiene - Spese Generali</v>
      </c>
      <c r="Q591" s="622" t="s">
        <v>1844</v>
      </c>
      <c r="R591" s="642" t="s">
        <v>132</v>
      </c>
    </row>
    <row r="592" spans="1:18" ht="28.5" customHeight="1" outlineLevel="2">
      <c r="A592" s="85" t="s">
        <v>308</v>
      </c>
      <c r="B592" s="402">
        <v>22</v>
      </c>
      <c r="C592" s="85" t="s">
        <v>309</v>
      </c>
      <c r="D592" s="148" t="s">
        <v>7</v>
      </c>
      <c r="E592" s="87">
        <v>2018</v>
      </c>
      <c r="F592" s="88">
        <v>44</v>
      </c>
      <c r="G592" s="120" t="s">
        <v>347</v>
      </c>
      <c r="H592" s="581" t="s">
        <v>359</v>
      </c>
      <c r="I592" s="601">
        <v>4000</v>
      </c>
      <c r="J592" s="595" t="s">
        <v>9</v>
      </c>
      <c r="K592" s="91">
        <v>1</v>
      </c>
      <c r="L592" s="91">
        <v>2</v>
      </c>
      <c r="M592" s="92">
        <v>29</v>
      </c>
      <c r="N592" s="119" t="str">
        <f>VLOOKUP(M592,'PF Uscite Sp. Corr.'!$C$1:$E$100,2,FALSE)</f>
        <v>Imposte, tasse e proventi assimilati a carico dell'ente n.a.c.</v>
      </c>
      <c r="O592" s="131">
        <v>2080</v>
      </c>
      <c r="P592" s="614" t="str">
        <f>VLOOKUP(O592,'Centri di Costo'!$A$2:$B$179,2,FALSE)</f>
        <v>Att. Ord. Thiene - Spese Generali</v>
      </c>
      <c r="Q592" s="622" t="s">
        <v>1844</v>
      </c>
      <c r="R592" s="642" t="s">
        <v>49</v>
      </c>
    </row>
    <row r="593" spans="1:18" ht="28.5" customHeight="1" outlineLevel="2">
      <c r="A593" s="85" t="s">
        <v>308</v>
      </c>
      <c r="B593" s="402">
        <v>22</v>
      </c>
      <c r="C593" s="85" t="s">
        <v>309</v>
      </c>
      <c r="D593" s="148" t="s">
        <v>7</v>
      </c>
      <c r="E593" s="87">
        <v>2018</v>
      </c>
      <c r="F593" s="88">
        <v>44</v>
      </c>
      <c r="G593" s="120" t="s">
        <v>347</v>
      </c>
      <c r="H593" s="581" t="s">
        <v>358</v>
      </c>
      <c r="I593" s="601">
        <v>1500</v>
      </c>
      <c r="J593" s="595" t="s">
        <v>9</v>
      </c>
      <c r="K593" s="91">
        <v>1</v>
      </c>
      <c r="L593" s="91">
        <v>3</v>
      </c>
      <c r="M593" s="92">
        <v>31</v>
      </c>
      <c r="N593" s="119" t="str">
        <f>VLOOKUP(M593,'PF Uscite Sp. Corr.'!$C$1:$E$100,2,FALSE)</f>
        <v>Giornali, riviste e pubblicazioni</v>
      </c>
      <c r="O593" s="131">
        <v>2080</v>
      </c>
      <c r="P593" s="614" t="str">
        <f>VLOOKUP(O593,'Centri di Costo'!$A$2:$B$179,2,FALSE)</f>
        <v>Att. Ord. Thiene - Spese Generali</v>
      </c>
      <c r="Q593" s="619" t="s">
        <v>2003</v>
      </c>
      <c r="R593" s="642" t="s">
        <v>18</v>
      </c>
    </row>
    <row r="594" spans="1:18" ht="28.5" customHeight="1" outlineLevel="2">
      <c r="A594" s="85" t="s">
        <v>308</v>
      </c>
      <c r="B594" s="402">
        <v>22</v>
      </c>
      <c r="C594" s="85" t="s">
        <v>309</v>
      </c>
      <c r="D594" s="148" t="s">
        <v>7</v>
      </c>
      <c r="E594" s="87">
        <v>2018</v>
      </c>
      <c r="F594" s="88">
        <v>40</v>
      </c>
      <c r="G594" s="120" t="s">
        <v>327</v>
      </c>
      <c r="H594" s="581" t="s">
        <v>319</v>
      </c>
      <c r="I594" s="601">
        <v>49000</v>
      </c>
      <c r="J594" s="595" t="s">
        <v>9</v>
      </c>
      <c r="K594" s="91">
        <v>1</v>
      </c>
      <c r="L594" s="91">
        <v>3</v>
      </c>
      <c r="M594" s="92">
        <v>32</v>
      </c>
      <c r="N594" s="119" t="str">
        <f>VLOOKUP(M594,'PF Uscite Sp. Corr.'!$C$1:$E$100,2,FALSE)</f>
        <v>Altri beni di consumo</v>
      </c>
      <c r="O594" s="131">
        <v>2010</v>
      </c>
      <c r="P594" s="614" t="str">
        <f>VLOOKUP(O594,'Centri di Costo'!$A$2:$B$179,2,FALSE)</f>
        <v>Att. Ord. Thiene - Laboratorio Latte</v>
      </c>
      <c r="Q594" s="619" t="s">
        <v>2003</v>
      </c>
      <c r="R594" s="642" t="s">
        <v>324</v>
      </c>
    </row>
    <row r="595" spans="1:18" ht="28.5" customHeight="1" outlineLevel="2">
      <c r="A595" s="85" t="s">
        <v>308</v>
      </c>
      <c r="B595" s="402">
        <v>22</v>
      </c>
      <c r="C595" s="85" t="s">
        <v>309</v>
      </c>
      <c r="D595" s="148" t="s">
        <v>7</v>
      </c>
      <c r="E595" s="87">
        <v>2018</v>
      </c>
      <c r="F595" s="88">
        <v>40</v>
      </c>
      <c r="G595" s="120" t="s">
        <v>327</v>
      </c>
      <c r="H595" s="581" t="s">
        <v>328</v>
      </c>
      <c r="I595" s="601">
        <v>6600</v>
      </c>
      <c r="J595" s="595" t="s">
        <v>9</v>
      </c>
      <c r="K595" s="91">
        <v>1</v>
      </c>
      <c r="L595" s="91">
        <v>3</v>
      </c>
      <c r="M595" s="92">
        <v>32</v>
      </c>
      <c r="N595" s="119" t="str">
        <f>VLOOKUP(M595,'PF Uscite Sp. Corr.'!$C$1:$E$100,2,FALSE)</f>
        <v>Altri beni di consumo</v>
      </c>
      <c r="O595" s="131">
        <v>2010</v>
      </c>
      <c r="P595" s="614" t="str">
        <f>VLOOKUP(O595,'Centri di Costo'!$A$2:$B$179,2,FALSE)</f>
        <v>Att. Ord. Thiene - Laboratorio Latte</v>
      </c>
      <c r="Q595" s="619" t="s">
        <v>2003</v>
      </c>
      <c r="R595" s="642" t="s">
        <v>81</v>
      </c>
    </row>
    <row r="596" spans="1:18" ht="28.5" customHeight="1" outlineLevel="2">
      <c r="A596" s="85" t="s">
        <v>308</v>
      </c>
      <c r="B596" s="402">
        <v>22</v>
      </c>
      <c r="C596" s="85" t="s">
        <v>309</v>
      </c>
      <c r="D596" s="148" t="s">
        <v>7</v>
      </c>
      <c r="E596" s="87">
        <v>2018</v>
      </c>
      <c r="F596" s="88">
        <v>40</v>
      </c>
      <c r="G596" s="120" t="s">
        <v>327</v>
      </c>
      <c r="H596" s="581" t="s">
        <v>317</v>
      </c>
      <c r="I596" s="601">
        <v>400</v>
      </c>
      <c r="J596" s="595" t="s">
        <v>9</v>
      </c>
      <c r="K596" s="91">
        <v>1</v>
      </c>
      <c r="L596" s="91">
        <v>3</v>
      </c>
      <c r="M596" s="92">
        <v>32</v>
      </c>
      <c r="N596" s="119" t="str">
        <f>VLOOKUP(M596,'PF Uscite Sp. Corr.'!$C$1:$E$100,2,FALSE)</f>
        <v>Altri beni di consumo</v>
      </c>
      <c r="O596" s="131">
        <v>2010</v>
      </c>
      <c r="P596" s="614" t="str">
        <f>VLOOKUP(O596,'Centri di Costo'!$A$2:$B$179,2,FALSE)</f>
        <v>Att. Ord. Thiene - Laboratorio Latte</v>
      </c>
      <c r="Q596" s="619" t="s">
        <v>2003</v>
      </c>
      <c r="R596" s="642" t="s">
        <v>318</v>
      </c>
    </row>
    <row r="597" spans="1:18" ht="28.5" customHeight="1" outlineLevel="2">
      <c r="A597" s="85" t="s">
        <v>308</v>
      </c>
      <c r="B597" s="402">
        <v>22</v>
      </c>
      <c r="C597" s="85" t="s">
        <v>309</v>
      </c>
      <c r="D597" s="148" t="s">
        <v>7</v>
      </c>
      <c r="E597" s="87">
        <v>2018</v>
      </c>
      <c r="F597" s="88">
        <v>39</v>
      </c>
      <c r="G597" s="120" t="s">
        <v>333</v>
      </c>
      <c r="H597" s="581" t="s">
        <v>319</v>
      </c>
      <c r="I597" s="601">
        <v>54388</v>
      </c>
      <c r="J597" s="595" t="s">
        <v>9</v>
      </c>
      <c r="K597" s="91">
        <v>1</v>
      </c>
      <c r="L597" s="91">
        <v>3</v>
      </c>
      <c r="M597" s="92">
        <v>32</v>
      </c>
      <c r="N597" s="119" t="str">
        <f>VLOOKUP(M597,'PF Uscite Sp. Corr.'!$C$1:$E$100,2,FALSE)</f>
        <v>Altri beni di consumo</v>
      </c>
      <c r="O597" s="131">
        <v>2020</v>
      </c>
      <c r="P597" s="614" t="str">
        <f>VLOOKUP(O597,'Centri di Costo'!$A$2:$B$179,2,FALSE)</f>
        <v>Att. Ord. Thiene - Laboratorio Chimica</v>
      </c>
      <c r="Q597" s="619" t="s">
        <v>2003</v>
      </c>
      <c r="R597" s="642" t="s">
        <v>320</v>
      </c>
    </row>
    <row r="598" spans="1:18" ht="28.5" customHeight="1" outlineLevel="2">
      <c r="A598" s="85" t="s">
        <v>308</v>
      </c>
      <c r="B598" s="402">
        <v>22</v>
      </c>
      <c r="C598" s="85" t="s">
        <v>309</v>
      </c>
      <c r="D598" s="148" t="s">
        <v>7</v>
      </c>
      <c r="E598" s="87">
        <v>2018</v>
      </c>
      <c r="F598" s="88">
        <v>39</v>
      </c>
      <c r="G598" s="120" t="s">
        <v>333</v>
      </c>
      <c r="H598" s="581" t="s">
        <v>317</v>
      </c>
      <c r="I598" s="601">
        <v>300</v>
      </c>
      <c r="J598" s="595" t="s">
        <v>9</v>
      </c>
      <c r="K598" s="91">
        <v>1</v>
      </c>
      <c r="L598" s="91">
        <v>3</v>
      </c>
      <c r="M598" s="92">
        <v>32</v>
      </c>
      <c r="N598" s="119" t="str">
        <f>VLOOKUP(M598,'PF Uscite Sp. Corr.'!$C$1:$E$100,2,FALSE)</f>
        <v>Altri beni di consumo</v>
      </c>
      <c r="O598" s="131">
        <v>2020</v>
      </c>
      <c r="P598" s="614" t="str">
        <f>VLOOKUP(O598,'Centri di Costo'!$A$2:$B$179,2,FALSE)</f>
        <v>Att. Ord. Thiene - Laboratorio Chimica</v>
      </c>
      <c r="Q598" s="619" t="s">
        <v>2003</v>
      </c>
      <c r="R598" s="642" t="s">
        <v>318</v>
      </c>
    </row>
    <row r="599" spans="1:18" ht="28.5" customHeight="1" outlineLevel="2">
      <c r="A599" s="85" t="s">
        <v>308</v>
      </c>
      <c r="B599" s="402">
        <v>22</v>
      </c>
      <c r="C599" s="85" t="s">
        <v>309</v>
      </c>
      <c r="D599" s="148" t="s">
        <v>7</v>
      </c>
      <c r="E599" s="87">
        <v>2018</v>
      </c>
      <c r="F599" s="88">
        <v>39</v>
      </c>
      <c r="G599" s="120" t="s">
        <v>333</v>
      </c>
      <c r="H599" s="581" t="s">
        <v>328</v>
      </c>
      <c r="I599" s="601">
        <v>4000</v>
      </c>
      <c r="J599" s="595" t="s">
        <v>9</v>
      </c>
      <c r="K599" s="91">
        <v>1</v>
      </c>
      <c r="L599" s="91">
        <v>3</v>
      </c>
      <c r="M599" s="92">
        <v>32</v>
      </c>
      <c r="N599" s="119" t="str">
        <f>VLOOKUP(M599,'PF Uscite Sp. Corr.'!$C$1:$E$100,2,FALSE)</f>
        <v>Altri beni di consumo</v>
      </c>
      <c r="O599" s="131">
        <v>2020</v>
      </c>
      <c r="P599" s="614" t="str">
        <f>VLOOKUP(O599,'Centri di Costo'!$A$2:$B$179,2,FALSE)</f>
        <v>Att. Ord. Thiene - Laboratorio Chimica</v>
      </c>
      <c r="Q599" s="619" t="s">
        <v>2003</v>
      </c>
      <c r="R599" s="642" t="s">
        <v>81</v>
      </c>
    </row>
    <row r="600" spans="1:18" ht="28.5" customHeight="1" outlineLevel="2">
      <c r="A600" s="85" t="s">
        <v>308</v>
      </c>
      <c r="B600" s="402">
        <v>22</v>
      </c>
      <c r="C600" s="85" t="s">
        <v>309</v>
      </c>
      <c r="D600" s="148" t="s">
        <v>7</v>
      </c>
      <c r="E600" s="87">
        <v>2018</v>
      </c>
      <c r="F600" s="88">
        <v>180</v>
      </c>
      <c r="G600" s="120" t="s">
        <v>339</v>
      </c>
      <c r="H600" s="581" t="s">
        <v>340</v>
      </c>
      <c r="I600" s="601">
        <v>30000</v>
      </c>
      <c r="J600" s="595" t="s">
        <v>9</v>
      </c>
      <c r="K600" s="91">
        <v>1</v>
      </c>
      <c r="L600" s="91">
        <v>3</v>
      </c>
      <c r="M600" s="92">
        <v>32</v>
      </c>
      <c r="N600" s="119" t="str">
        <f>VLOOKUP(M600,'PF Uscite Sp. Corr.'!$C$1:$E$100,2,FALSE)</f>
        <v>Altri beni di consumo</v>
      </c>
      <c r="O600" s="131">
        <v>2020</v>
      </c>
      <c r="P600" s="614" t="str">
        <f>VLOOKUP(O600,'Centri di Costo'!$A$2:$B$179,2,FALSE)</f>
        <v>Att. Ord. Thiene - Laboratorio Chimica</v>
      </c>
      <c r="Q600" s="619" t="s">
        <v>2003</v>
      </c>
      <c r="R600" s="642" t="s">
        <v>320</v>
      </c>
    </row>
    <row r="601" spans="1:18" ht="28.5" customHeight="1" outlineLevel="2">
      <c r="A601" s="85" t="s">
        <v>308</v>
      </c>
      <c r="B601" s="402">
        <v>22</v>
      </c>
      <c r="C601" s="85" t="s">
        <v>309</v>
      </c>
      <c r="D601" s="148" t="s">
        <v>7</v>
      </c>
      <c r="E601" s="87">
        <v>2018</v>
      </c>
      <c r="F601" s="88">
        <v>183</v>
      </c>
      <c r="G601" s="120" t="s">
        <v>341</v>
      </c>
      <c r="H601" s="581" t="s">
        <v>342</v>
      </c>
      <c r="I601" s="601">
        <v>10000</v>
      </c>
      <c r="J601" s="595" t="s">
        <v>9</v>
      </c>
      <c r="K601" s="91">
        <v>1</v>
      </c>
      <c r="L601" s="91">
        <v>3</v>
      </c>
      <c r="M601" s="92">
        <v>32</v>
      </c>
      <c r="N601" s="119" t="str">
        <f>VLOOKUP(M601,'PF Uscite Sp. Corr.'!$C$1:$E$100,2,FALSE)</f>
        <v>Altri beni di consumo</v>
      </c>
      <c r="O601" s="131">
        <v>2020</v>
      </c>
      <c r="P601" s="614" t="str">
        <f>VLOOKUP(O601,'Centri di Costo'!$A$2:$B$179,2,FALSE)</f>
        <v>Att. Ord. Thiene - Laboratorio Chimica</v>
      </c>
      <c r="Q601" s="619" t="s">
        <v>2003</v>
      </c>
      <c r="R601" s="642" t="s">
        <v>320</v>
      </c>
    </row>
    <row r="602" spans="1:18" ht="28.5" customHeight="1" outlineLevel="2">
      <c r="A602" s="85" t="s">
        <v>308</v>
      </c>
      <c r="B602" s="402">
        <v>22</v>
      </c>
      <c r="C602" s="85" t="s">
        <v>309</v>
      </c>
      <c r="D602" s="148" t="s">
        <v>7</v>
      </c>
      <c r="E602" s="87">
        <v>2018</v>
      </c>
      <c r="F602" s="88">
        <v>41</v>
      </c>
      <c r="G602" s="120" t="s">
        <v>343</v>
      </c>
      <c r="H602" s="581" t="s">
        <v>344</v>
      </c>
      <c r="I602" s="601">
        <v>1400</v>
      </c>
      <c r="J602" s="595" t="s">
        <v>9</v>
      </c>
      <c r="K602" s="91">
        <v>1</v>
      </c>
      <c r="L602" s="91">
        <v>3</v>
      </c>
      <c r="M602" s="92">
        <v>32</v>
      </c>
      <c r="N602" s="119" t="str">
        <f>VLOOKUP(M602,'PF Uscite Sp. Corr.'!$C$1:$E$100,2,FALSE)</f>
        <v>Altri beni di consumo</v>
      </c>
      <c r="O602" s="131">
        <v>2030</v>
      </c>
      <c r="P602" s="614" t="str">
        <f>VLOOKUP(O602,'Centri di Costo'!$A$2:$B$179,2,FALSE)</f>
        <v>Att. Ord. Thiene - Laboratorio Sensoriale</v>
      </c>
      <c r="Q602" s="619" t="s">
        <v>2003</v>
      </c>
      <c r="R602" s="642" t="s">
        <v>320</v>
      </c>
    </row>
    <row r="603" spans="1:18" ht="28.5" customHeight="1" outlineLevel="2">
      <c r="A603" s="85" t="s">
        <v>308</v>
      </c>
      <c r="B603" s="402">
        <v>22</v>
      </c>
      <c r="C603" s="85" t="s">
        <v>309</v>
      </c>
      <c r="D603" s="148" t="s">
        <v>7</v>
      </c>
      <c r="E603" s="87">
        <v>2018</v>
      </c>
      <c r="F603" s="88">
        <v>41</v>
      </c>
      <c r="G603" s="120" t="s">
        <v>343</v>
      </c>
      <c r="H603" s="581" t="s">
        <v>317</v>
      </c>
      <c r="I603" s="601">
        <v>200</v>
      </c>
      <c r="J603" s="595" t="s">
        <v>9</v>
      </c>
      <c r="K603" s="91">
        <v>1</v>
      </c>
      <c r="L603" s="91">
        <v>3</v>
      </c>
      <c r="M603" s="92">
        <v>32</v>
      </c>
      <c r="N603" s="119" t="str">
        <f>VLOOKUP(M603,'PF Uscite Sp. Corr.'!$C$1:$E$100,2,FALSE)</f>
        <v>Altri beni di consumo</v>
      </c>
      <c r="O603" s="131">
        <v>2030</v>
      </c>
      <c r="P603" s="614" t="str">
        <f>VLOOKUP(O603,'Centri di Costo'!$A$2:$B$179,2,FALSE)</f>
        <v>Att. Ord. Thiene - Laboratorio Sensoriale</v>
      </c>
      <c r="Q603" s="619" t="s">
        <v>2003</v>
      </c>
      <c r="R603" s="642" t="s">
        <v>318</v>
      </c>
    </row>
    <row r="604" spans="1:18" ht="28.5" customHeight="1" outlineLevel="2">
      <c r="A604" s="85" t="s">
        <v>308</v>
      </c>
      <c r="B604" s="402">
        <v>22</v>
      </c>
      <c r="C604" s="85" t="s">
        <v>309</v>
      </c>
      <c r="D604" s="148" t="s">
        <v>7</v>
      </c>
      <c r="E604" s="87">
        <v>2018</v>
      </c>
      <c r="F604" s="88">
        <v>41</v>
      </c>
      <c r="G604" s="120" t="s">
        <v>343</v>
      </c>
      <c r="H604" s="581" t="s">
        <v>328</v>
      </c>
      <c r="I604" s="601">
        <v>500</v>
      </c>
      <c r="J604" s="595" t="s">
        <v>9</v>
      </c>
      <c r="K604" s="91">
        <v>1</v>
      </c>
      <c r="L604" s="91">
        <v>3</v>
      </c>
      <c r="M604" s="92">
        <v>32</v>
      </c>
      <c r="N604" s="119" t="str">
        <f>VLOOKUP(M604,'PF Uscite Sp. Corr.'!$C$1:$E$100,2,FALSE)</f>
        <v>Altri beni di consumo</v>
      </c>
      <c r="O604" s="131">
        <v>2030</v>
      </c>
      <c r="P604" s="614" t="str">
        <f>VLOOKUP(O604,'Centri di Costo'!$A$2:$B$179,2,FALSE)</f>
        <v>Att. Ord. Thiene - Laboratorio Sensoriale</v>
      </c>
      <c r="Q604" s="619" t="s">
        <v>2003</v>
      </c>
      <c r="R604" s="642" t="s">
        <v>81</v>
      </c>
    </row>
    <row r="605" spans="1:18" ht="28.5" customHeight="1" outlineLevel="2">
      <c r="A605" s="85" t="s">
        <v>308</v>
      </c>
      <c r="B605" s="402">
        <v>22</v>
      </c>
      <c r="C605" s="85" t="s">
        <v>309</v>
      </c>
      <c r="D605" s="148" t="s">
        <v>7</v>
      </c>
      <c r="E605" s="87">
        <v>2018</v>
      </c>
      <c r="F605" s="88">
        <v>44</v>
      </c>
      <c r="G605" s="120" t="s">
        <v>347</v>
      </c>
      <c r="H605" s="581" t="s">
        <v>357</v>
      </c>
      <c r="I605" s="601">
        <v>5000</v>
      </c>
      <c r="J605" s="595" t="s">
        <v>9</v>
      </c>
      <c r="K605" s="91">
        <v>1</v>
      </c>
      <c r="L605" s="91">
        <v>3</v>
      </c>
      <c r="M605" s="92">
        <v>32</v>
      </c>
      <c r="N605" s="119" t="str">
        <f>VLOOKUP(M605,'PF Uscite Sp. Corr.'!$C$1:$E$100,2,FALSE)</f>
        <v>Altri beni di consumo</v>
      </c>
      <c r="O605" s="131">
        <v>2080</v>
      </c>
      <c r="P605" s="614" t="str">
        <f>VLOOKUP(O605,'Centri di Costo'!$A$2:$B$179,2,FALSE)</f>
        <v>Att. Ord. Thiene - Spese Generali</v>
      </c>
      <c r="Q605" s="619" t="s">
        <v>2003</v>
      </c>
      <c r="R605" s="642" t="s">
        <v>72</v>
      </c>
    </row>
    <row r="606" spans="1:18" ht="28.5" customHeight="1" outlineLevel="2">
      <c r="A606" s="85" t="s">
        <v>308</v>
      </c>
      <c r="B606" s="402">
        <v>22</v>
      </c>
      <c r="C606" s="85" t="s">
        <v>309</v>
      </c>
      <c r="D606" s="148" t="s">
        <v>7</v>
      </c>
      <c r="E606" s="87">
        <v>2018</v>
      </c>
      <c r="F606" s="88">
        <v>44</v>
      </c>
      <c r="G606" s="120" t="s">
        <v>347</v>
      </c>
      <c r="H606" s="581" t="s">
        <v>344</v>
      </c>
      <c r="I606" s="601">
        <v>2000</v>
      </c>
      <c r="J606" s="595" t="s">
        <v>9</v>
      </c>
      <c r="K606" s="91">
        <v>1</v>
      </c>
      <c r="L606" s="91">
        <v>3</v>
      </c>
      <c r="M606" s="92">
        <v>32</v>
      </c>
      <c r="N606" s="119" t="str">
        <f>VLOOKUP(M606,'PF Uscite Sp. Corr.'!$C$1:$E$100,2,FALSE)</f>
        <v>Altri beni di consumo</v>
      </c>
      <c r="O606" s="131">
        <v>2080</v>
      </c>
      <c r="P606" s="614" t="str">
        <f>VLOOKUP(O606,'Centri di Costo'!$A$2:$B$179,2,FALSE)</f>
        <v>Att. Ord. Thiene - Spese Generali</v>
      </c>
      <c r="Q606" s="619" t="s">
        <v>2003</v>
      </c>
      <c r="R606" s="642" t="s">
        <v>324</v>
      </c>
    </row>
    <row r="607" spans="1:18" ht="28.5" customHeight="1" outlineLevel="2">
      <c r="A607" s="85" t="s">
        <v>308</v>
      </c>
      <c r="B607" s="402">
        <v>22</v>
      </c>
      <c r="C607" s="85" t="s">
        <v>309</v>
      </c>
      <c r="D607" s="148" t="s">
        <v>7</v>
      </c>
      <c r="E607" s="87">
        <v>2018</v>
      </c>
      <c r="F607" s="88">
        <v>44</v>
      </c>
      <c r="G607" s="120" t="s">
        <v>347</v>
      </c>
      <c r="H607" s="581" t="s">
        <v>363</v>
      </c>
      <c r="I607" s="601">
        <v>2000</v>
      </c>
      <c r="J607" s="595" t="s">
        <v>9</v>
      </c>
      <c r="K607" s="91">
        <v>1</v>
      </c>
      <c r="L607" s="91">
        <v>3</v>
      </c>
      <c r="M607" s="92">
        <v>32</v>
      </c>
      <c r="N607" s="119" t="str">
        <f>VLOOKUP(M607,'PF Uscite Sp. Corr.'!$C$1:$E$100,2,FALSE)</f>
        <v>Altri beni di consumo</v>
      </c>
      <c r="O607" s="131">
        <v>2080</v>
      </c>
      <c r="P607" s="614" t="str">
        <f>VLOOKUP(O607,'Centri di Costo'!$A$2:$B$179,2,FALSE)</f>
        <v>Att. Ord. Thiene - Spese Generali</v>
      </c>
      <c r="Q607" s="619" t="s">
        <v>2003</v>
      </c>
      <c r="R607" s="642" t="s">
        <v>364</v>
      </c>
    </row>
    <row r="608" spans="1:18" ht="28.5" customHeight="1" outlineLevel="2">
      <c r="A608" s="85" t="s">
        <v>308</v>
      </c>
      <c r="B608" s="402">
        <v>22</v>
      </c>
      <c r="C608" s="85" t="s">
        <v>309</v>
      </c>
      <c r="D608" s="148" t="s">
        <v>7</v>
      </c>
      <c r="E608" s="87">
        <v>2018</v>
      </c>
      <c r="F608" s="88">
        <v>44</v>
      </c>
      <c r="G608" s="120" t="s">
        <v>347</v>
      </c>
      <c r="H608" s="581" t="s">
        <v>365</v>
      </c>
      <c r="I608" s="601">
        <v>2000</v>
      </c>
      <c r="J608" s="595" t="s">
        <v>9</v>
      </c>
      <c r="K608" s="91">
        <v>1</v>
      </c>
      <c r="L608" s="91">
        <v>3</v>
      </c>
      <c r="M608" s="92">
        <v>32</v>
      </c>
      <c r="N608" s="119" t="str">
        <f>VLOOKUP(M608,'PF Uscite Sp. Corr.'!$C$1:$E$100,2,FALSE)</f>
        <v>Altri beni di consumo</v>
      </c>
      <c r="O608" s="131">
        <v>2080</v>
      </c>
      <c r="P608" s="614" t="str">
        <f>VLOOKUP(O608,'Centri di Costo'!$A$2:$B$179,2,FALSE)</f>
        <v>Att. Ord. Thiene - Spese Generali</v>
      </c>
      <c r="Q608" s="619" t="s">
        <v>2003</v>
      </c>
      <c r="R608" s="642" t="s">
        <v>81</v>
      </c>
    </row>
    <row r="609" spans="1:18" ht="28.5" customHeight="1" outlineLevel="2">
      <c r="A609" s="85" t="s">
        <v>308</v>
      </c>
      <c r="B609" s="402">
        <v>22</v>
      </c>
      <c r="C609" s="85" t="s">
        <v>309</v>
      </c>
      <c r="D609" s="148" t="s">
        <v>7</v>
      </c>
      <c r="E609" s="87">
        <v>2018</v>
      </c>
      <c r="F609" s="88">
        <v>44</v>
      </c>
      <c r="G609" s="120" t="s">
        <v>347</v>
      </c>
      <c r="H609" s="581" t="s">
        <v>367</v>
      </c>
      <c r="I609" s="601">
        <v>6500</v>
      </c>
      <c r="J609" s="595" t="s">
        <v>9</v>
      </c>
      <c r="K609" s="91">
        <v>1</v>
      </c>
      <c r="L609" s="91">
        <v>3</v>
      </c>
      <c r="M609" s="92">
        <v>32</v>
      </c>
      <c r="N609" s="119" t="str">
        <f>VLOOKUP(M609,'PF Uscite Sp. Corr.'!$C$1:$E$100,2,FALSE)</f>
        <v>Altri beni di consumo</v>
      </c>
      <c r="O609" s="131">
        <v>2080</v>
      </c>
      <c r="P609" s="614" t="str">
        <f>VLOOKUP(O609,'Centri di Costo'!$A$2:$B$179,2,FALSE)</f>
        <v>Att. Ord. Thiene - Spese Generali</v>
      </c>
      <c r="Q609" s="619" t="s">
        <v>2003</v>
      </c>
      <c r="R609" s="642" t="s">
        <v>73</v>
      </c>
    </row>
    <row r="610" spans="1:18" ht="28.5" customHeight="1" outlineLevel="2">
      <c r="A610" s="85" t="s">
        <v>308</v>
      </c>
      <c r="B610" s="402">
        <v>22</v>
      </c>
      <c r="C610" s="85" t="s">
        <v>309</v>
      </c>
      <c r="D610" s="148" t="s">
        <v>7</v>
      </c>
      <c r="E610" s="87">
        <v>2018</v>
      </c>
      <c r="F610" s="88">
        <v>27</v>
      </c>
      <c r="G610" s="120" t="s">
        <v>321</v>
      </c>
      <c r="H610" s="581" t="s">
        <v>323</v>
      </c>
      <c r="I610" s="601">
        <v>107000</v>
      </c>
      <c r="J610" s="595" t="s">
        <v>9</v>
      </c>
      <c r="K610" s="91">
        <v>1</v>
      </c>
      <c r="L610" s="91">
        <v>3</v>
      </c>
      <c r="M610" s="92">
        <v>32</v>
      </c>
      <c r="N610" s="119" t="str">
        <f>VLOOKUP(M610,'PF Uscite Sp. Corr.'!$C$1:$E$100,2,FALSE)</f>
        <v>Altri beni di consumo</v>
      </c>
      <c r="O610" s="131">
        <v>2110</v>
      </c>
      <c r="P610" s="614" t="str">
        <f>VLOOKUP(O610,'Centri di Costo'!$A$2:$B$179,2,FALSE)</f>
        <v>Att. Ord. Thiene - Centro Produz. Fermenti e Laboratorio</v>
      </c>
      <c r="Q610" s="619" t="s">
        <v>2003</v>
      </c>
      <c r="R610" s="642" t="s">
        <v>324</v>
      </c>
    </row>
    <row r="611" spans="1:18" ht="28.5" customHeight="1" outlineLevel="2">
      <c r="A611" s="85" t="s">
        <v>308</v>
      </c>
      <c r="B611" s="402">
        <v>22</v>
      </c>
      <c r="C611" s="85" t="s">
        <v>309</v>
      </c>
      <c r="D611" s="148" t="s">
        <v>7</v>
      </c>
      <c r="E611" s="87">
        <v>2018</v>
      </c>
      <c r="F611" s="88">
        <v>27</v>
      </c>
      <c r="G611" s="120" t="s">
        <v>321</v>
      </c>
      <c r="H611" s="581" t="s">
        <v>317</v>
      </c>
      <c r="I611" s="601">
        <v>1000</v>
      </c>
      <c r="J611" s="595" t="s">
        <v>9</v>
      </c>
      <c r="K611" s="91">
        <v>1</v>
      </c>
      <c r="L611" s="91">
        <v>3</v>
      </c>
      <c r="M611" s="92">
        <v>32</v>
      </c>
      <c r="N611" s="119" t="str">
        <f>VLOOKUP(M611,'PF Uscite Sp. Corr.'!$C$1:$E$100,2,FALSE)</f>
        <v>Altri beni di consumo</v>
      </c>
      <c r="O611" s="131">
        <v>2110</v>
      </c>
      <c r="P611" s="614" t="str">
        <f>VLOOKUP(O611,'Centri di Costo'!$A$2:$B$179,2,FALSE)</f>
        <v>Att. Ord. Thiene - Centro Produz. Fermenti e Laboratorio</v>
      </c>
      <c r="Q611" s="619" t="s">
        <v>2003</v>
      </c>
      <c r="R611" s="642" t="s">
        <v>318</v>
      </c>
    </row>
    <row r="612" spans="1:18" ht="28.5" customHeight="1" outlineLevel="2">
      <c r="A612" s="85" t="s">
        <v>308</v>
      </c>
      <c r="B612" s="402">
        <v>22</v>
      </c>
      <c r="C612" s="85" t="s">
        <v>309</v>
      </c>
      <c r="D612" s="148" t="s">
        <v>7</v>
      </c>
      <c r="E612" s="87">
        <v>2018</v>
      </c>
      <c r="F612" s="88">
        <v>27</v>
      </c>
      <c r="G612" s="120" t="s">
        <v>321</v>
      </c>
      <c r="H612" s="581" t="s">
        <v>325</v>
      </c>
      <c r="I612" s="601">
        <v>2000</v>
      </c>
      <c r="J612" s="595" t="s">
        <v>9</v>
      </c>
      <c r="K612" s="91">
        <v>1</v>
      </c>
      <c r="L612" s="91">
        <v>3</v>
      </c>
      <c r="M612" s="92">
        <v>32</v>
      </c>
      <c r="N612" s="119" t="str">
        <f>VLOOKUP(M612,'PF Uscite Sp. Corr.'!$C$1:$E$100,2,FALSE)</f>
        <v>Altri beni di consumo</v>
      </c>
      <c r="O612" s="131">
        <v>2110</v>
      </c>
      <c r="P612" s="614" t="str">
        <f>VLOOKUP(O612,'Centri di Costo'!$A$2:$B$179,2,FALSE)</f>
        <v>Att. Ord. Thiene - Centro Produz. Fermenti e Laboratorio</v>
      </c>
      <c r="Q612" s="619" t="s">
        <v>2003</v>
      </c>
      <c r="R612" s="642" t="s">
        <v>81</v>
      </c>
    </row>
    <row r="613" spans="1:18" ht="28.5" customHeight="1" outlineLevel="2">
      <c r="A613" s="85" t="s">
        <v>308</v>
      </c>
      <c r="B613" s="402">
        <v>22</v>
      </c>
      <c r="C613" s="85" t="s">
        <v>309</v>
      </c>
      <c r="D613" s="148" t="s">
        <v>7</v>
      </c>
      <c r="E613" s="87">
        <v>2018</v>
      </c>
      <c r="F613" s="88">
        <v>25</v>
      </c>
      <c r="G613" s="120" t="s">
        <v>310</v>
      </c>
      <c r="H613" s="581" t="s">
        <v>316</v>
      </c>
      <c r="I613" s="601">
        <v>6500</v>
      </c>
      <c r="J613" s="595" t="s">
        <v>9</v>
      </c>
      <c r="K613" s="91">
        <v>1</v>
      </c>
      <c r="L613" s="91">
        <v>3</v>
      </c>
      <c r="M613" s="92">
        <v>32</v>
      </c>
      <c r="N613" s="119" t="str">
        <f>VLOOKUP(M613,'PF Uscite Sp. Corr.'!$C$1:$E$100,2,FALSE)</f>
        <v>Altri beni di consumo</v>
      </c>
      <c r="O613" s="131">
        <v>2120</v>
      </c>
      <c r="P613" s="614" t="str">
        <f>VLOOKUP(O613,'Centri di Costo'!$A$2:$B$179,2,FALSE)</f>
        <v xml:space="preserve">Att. Ord. Thiene - Laboratori Lab. Biotecnologie e Microbiologia </v>
      </c>
      <c r="Q613" s="619" t="s">
        <v>2003</v>
      </c>
      <c r="R613" s="642" t="s">
        <v>81</v>
      </c>
    </row>
    <row r="614" spans="1:18" ht="28.5" customHeight="1" outlineLevel="2">
      <c r="A614" s="85" t="s">
        <v>308</v>
      </c>
      <c r="B614" s="402">
        <v>22</v>
      </c>
      <c r="C614" s="85" t="s">
        <v>309</v>
      </c>
      <c r="D614" s="148" t="s">
        <v>7</v>
      </c>
      <c r="E614" s="87">
        <v>2018</v>
      </c>
      <c r="F614" s="88">
        <v>25</v>
      </c>
      <c r="G614" s="120" t="s">
        <v>310</v>
      </c>
      <c r="H614" s="581" t="s">
        <v>317</v>
      </c>
      <c r="I614" s="601">
        <v>500</v>
      </c>
      <c r="J614" s="595" t="s">
        <v>9</v>
      </c>
      <c r="K614" s="91">
        <v>1</v>
      </c>
      <c r="L614" s="91">
        <v>3</v>
      </c>
      <c r="M614" s="92">
        <v>32</v>
      </c>
      <c r="N614" s="119" t="str">
        <f>VLOOKUP(M614,'PF Uscite Sp. Corr.'!$C$1:$E$100,2,FALSE)</f>
        <v>Altri beni di consumo</v>
      </c>
      <c r="O614" s="131">
        <v>2120</v>
      </c>
      <c r="P614" s="614" t="str">
        <f>VLOOKUP(O614,'Centri di Costo'!$A$2:$B$179,2,FALSE)</f>
        <v xml:space="preserve">Att. Ord. Thiene - Laboratori Lab. Biotecnologie e Microbiologia </v>
      </c>
      <c r="Q614" s="619" t="s">
        <v>2003</v>
      </c>
      <c r="R614" s="642" t="s">
        <v>318</v>
      </c>
    </row>
    <row r="615" spans="1:18" ht="28.5" customHeight="1" outlineLevel="2">
      <c r="A615" s="85" t="s">
        <v>308</v>
      </c>
      <c r="B615" s="402">
        <v>22</v>
      </c>
      <c r="C615" s="85" t="s">
        <v>309</v>
      </c>
      <c r="D615" s="148" t="s">
        <v>7</v>
      </c>
      <c r="E615" s="87">
        <v>2018</v>
      </c>
      <c r="F615" s="88">
        <v>25</v>
      </c>
      <c r="G615" s="120" t="s">
        <v>310</v>
      </c>
      <c r="H615" s="581" t="s">
        <v>319</v>
      </c>
      <c r="I615" s="601">
        <v>42000</v>
      </c>
      <c r="J615" s="595" t="s">
        <v>9</v>
      </c>
      <c r="K615" s="91">
        <v>1</v>
      </c>
      <c r="L615" s="91">
        <v>3</v>
      </c>
      <c r="M615" s="92">
        <v>32</v>
      </c>
      <c r="N615" s="119" t="str">
        <f>VLOOKUP(M615,'PF Uscite Sp. Corr.'!$C$1:$E$100,2,FALSE)</f>
        <v>Altri beni di consumo</v>
      </c>
      <c r="O615" s="131">
        <v>2120</v>
      </c>
      <c r="P615" s="614" t="str">
        <f>VLOOKUP(O615,'Centri di Costo'!$A$2:$B$179,2,FALSE)</f>
        <v xml:space="preserve">Att. Ord. Thiene - Laboratori Lab. Biotecnologie e Microbiologia </v>
      </c>
      <c r="Q615" s="619" t="s">
        <v>2003</v>
      </c>
      <c r="R615" s="642" t="s">
        <v>320</v>
      </c>
    </row>
    <row r="616" spans="1:18" ht="28.5" customHeight="1" outlineLevel="2">
      <c r="A616" s="85" t="s">
        <v>308</v>
      </c>
      <c r="B616" s="402">
        <v>22</v>
      </c>
      <c r="C616" s="85" t="s">
        <v>309</v>
      </c>
      <c r="D616" s="148" t="s">
        <v>7</v>
      </c>
      <c r="E616" s="87">
        <v>2018</v>
      </c>
      <c r="F616" s="88">
        <v>183</v>
      </c>
      <c r="G616" s="120" t="s">
        <v>341</v>
      </c>
      <c r="H616" s="581" t="s">
        <v>342</v>
      </c>
      <c r="I616" s="601">
        <v>6000</v>
      </c>
      <c r="J616" s="595" t="s">
        <v>9</v>
      </c>
      <c r="K616" s="91">
        <v>1</v>
      </c>
      <c r="L616" s="91">
        <v>3</v>
      </c>
      <c r="M616" s="92">
        <v>32</v>
      </c>
      <c r="N616" s="119" t="str">
        <f>VLOOKUP(M616,'PF Uscite Sp. Corr.'!$C$1:$E$100,2,FALSE)</f>
        <v>Altri beni di consumo</v>
      </c>
      <c r="O616" s="131">
        <v>2120</v>
      </c>
      <c r="P616" s="614" t="str">
        <f>VLOOKUP(O616,'Centri di Costo'!$A$2:$B$179,2,FALSE)</f>
        <v xml:space="preserve">Att. Ord. Thiene - Laboratori Lab. Biotecnologie e Microbiologia </v>
      </c>
      <c r="Q616" s="619" t="s">
        <v>2003</v>
      </c>
      <c r="R616" s="642" t="s">
        <v>320</v>
      </c>
    </row>
    <row r="617" spans="1:18" ht="28.5" customHeight="1" outlineLevel="2">
      <c r="A617" s="85" t="s">
        <v>308</v>
      </c>
      <c r="B617" s="402">
        <v>22</v>
      </c>
      <c r="C617" s="85" t="s">
        <v>309</v>
      </c>
      <c r="D617" s="148" t="s">
        <v>7</v>
      </c>
      <c r="E617" s="87">
        <v>2018</v>
      </c>
      <c r="F617" s="88">
        <v>44</v>
      </c>
      <c r="G617" s="120" t="s">
        <v>347</v>
      </c>
      <c r="H617" s="581" t="s">
        <v>62</v>
      </c>
      <c r="I617" s="601">
        <v>39000</v>
      </c>
      <c r="J617" s="595" t="s">
        <v>9</v>
      </c>
      <c r="K617" s="91">
        <v>1</v>
      </c>
      <c r="L617" s="91">
        <v>3</v>
      </c>
      <c r="M617" s="92">
        <v>45</v>
      </c>
      <c r="N617" s="119" t="str">
        <f>VLOOKUP(M617,'PF Uscite Sp. Corr.'!$C$1:$E$100,2,FALSE)</f>
        <v>Utenze e canoni</v>
      </c>
      <c r="O617" s="131">
        <v>2080</v>
      </c>
      <c r="P617" s="614" t="str">
        <f>VLOOKUP(O617,'Centri di Costo'!$A$2:$B$179,2,FALSE)</f>
        <v>Att. Ord. Thiene - Spese Generali</v>
      </c>
      <c r="Q617" s="624" t="s">
        <v>2014</v>
      </c>
      <c r="R617" s="642" t="s">
        <v>63</v>
      </c>
    </row>
    <row r="618" spans="1:18" ht="28.5" customHeight="1" outlineLevel="2">
      <c r="A618" s="85" t="s">
        <v>308</v>
      </c>
      <c r="B618" s="402">
        <v>22</v>
      </c>
      <c r="C618" s="85" t="s">
        <v>309</v>
      </c>
      <c r="D618" s="148" t="s">
        <v>7</v>
      </c>
      <c r="E618" s="87">
        <v>2018</v>
      </c>
      <c r="F618" s="88">
        <v>44</v>
      </c>
      <c r="G618" s="120" t="s">
        <v>347</v>
      </c>
      <c r="H618" s="581" t="s">
        <v>986</v>
      </c>
      <c r="I618" s="601">
        <v>1500</v>
      </c>
      <c r="J618" s="595" t="s">
        <v>9</v>
      </c>
      <c r="K618" s="91">
        <v>1</v>
      </c>
      <c r="L618" s="91">
        <v>3</v>
      </c>
      <c r="M618" s="92">
        <v>45</v>
      </c>
      <c r="N618" s="119" t="str">
        <f>VLOOKUP(M618,'PF Uscite Sp. Corr.'!$C$1:$E$100,2,FALSE)</f>
        <v>Utenze e canoni</v>
      </c>
      <c r="O618" s="131">
        <v>2080</v>
      </c>
      <c r="P618" s="614" t="str">
        <f>VLOOKUP(O618,'Centri di Costo'!$A$2:$B$179,2,FALSE)</f>
        <v>Att. Ord. Thiene - Spese Generali</v>
      </c>
      <c r="Q618" s="624" t="s">
        <v>2014</v>
      </c>
      <c r="R618" s="642" t="s">
        <v>75</v>
      </c>
    </row>
    <row r="619" spans="1:18" ht="28.5" customHeight="1" outlineLevel="2">
      <c r="A619" s="85" t="s">
        <v>308</v>
      </c>
      <c r="B619" s="402">
        <v>22</v>
      </c>
      <c r="C619" s="85" t="s">
        <v>309</v>
      </c>
      <c r="D619" s="148" t="s">
        <v>7</v>
      </c>
      <c r="E619" s="87">
        <v>2018</v>
      </c>
      <c r="F619" s="88">
        <v>44</v>
      </c>
      <c r="G619" s="120" t="s">
        <v>347</v>
      </c>
      <c r="H619" s="581" t="s">
        <v>66</v>
      </c>
      <c r="I619" s="601">
        <v>39000</v>
      </c>
      <c r="J619" s="595" t="s">
        <v>9</v>
      </c>
      <c r="K619" s="91">
        <v>1</v>
      </c>
      <c r="L619" s="91">
        <v>3</v>
      </c>
      <c r="M619" s="92">
        <v>45</v>
      </c>
      <c r="N619" s="119" t="str">
        <f>VLOOKUP(M619,'PF Uscite Sp. Corr.'!$C$1:$E$100,2,FALSE)</f>
        <v>Utenze e canoni</v>
      </c>
      <c r="O619" s="131">
        <v>2080</v>
      </c>
      <c r="P619" s="614" t="str">
        <f>VLOOKUP(O619,'Centri di Costo'!$A$2:$B$179,2,FALSE)</f>
        <v>Att. Ord. Thiene - Spese Generali</v>
      </c>
      <c r="Q619" s="619" t="s">
        <v>2003</v>
      </c>
      <c r="R619" s="642" t="s">
        <v>67</v>
      </c>
    </row>
    <row r="620" spans="1:18" ht="28.5" customHeight="1" outlineLevel="2">
      <c r="A620" s="85" t="s">
        <v>308</v>
      </c>
      <c r="B620" s="402">
        <v>22</v>
      </c>
      <c r="C620" s="85" t="s">
        <v>309</v>
      </c>
      <c r="D620" s="148" t="s">
        <v>7</v>
      </c>
      <c r="E620" s="87">
        <v>2018</v>
      </c>
      <c r="F620" s="88">
        <v>44</v>
      </c>
      <c r="G620" s="120" t="s">
        <v>347</v>
      </c>
      <c r="H620" s="581" t="s">
        <v>64</v>
      </c>
      <c r="I620" s="601">
        <v>2000</v>
      </c>
      <c r="J620" s="595" t="s">
        <v>9</v>
      </c>
      <c r="K620" s="91">
        <v>1</v>
      </c>
      <c r="L620" s="91">
        <v>3</v>
      </c>
      <c r="M620" s="92">
        <v>45</v>
      </c>
      <c r="N620" s="119" t="str">
        <f>VLOOKUP(M620,'PF Uscite Sp. Corr.'!$C$1:$E$100,2,FALSE)</f>
        <v>Utenze e canoni</v>
      </c>
      <c r="O620" s="131">
        <v>2080</v>
      </c>
      <c r="P620" s="614" t="str">
        <f>VLOOKUP(O620,'Centri di Costo'!$A$2:$B$179,2,FALSE)</f>
        <v>Att. Ord. Thiene - Spese Generali</v>
      </c>
      <c r="Q620" s="624" t="s">
        <v>2014</v>
      </c>
      <c r="R620" s="642" t="s">
        <v>65</v>
      </c>
    </row>
    <row r="621" spans="1:18" ht="28.5" customHeight="1" outlineLevel="2">
      <c r="A621" s="85" t="s">
        <v>308</v>
      </c>
      <c r="B621" s="402">
        <v>22</v>
      </c>
      <c r="C621" s="85" t="s">
        <v>309</v>
      </c>
      <c r="D621" s="148" t="s">
        <v>7</v>
      </c>
      <c r="E621" s="87">
        <v>2018</v>
      </c>
      <c r="F621" s="88">
        <v>44</v>
      </c>
      <c r="G621" s="120" t="s">
        <v>347</v>
      </c>
      <c r="H621" s="581" t="s">
        <v>57</v>
      </c>
      <c r="I621" s="601">
        <v>98000</v>
      </c>
      <c r="J621" s="595" t="s">
        <v>9</v>
      </c>
      <c r="K621" s="91">
        <v>1</v>
      </c>
      <c r="L621" s="91">
        <v>3</v>
      </c>
      <c r="M621" s="92">
        <v>45</v>
      </c>
      <c r="N621" s="119" t="str">
        <f>VLOOKUP(M621,'PF Uscite Sp. Corr.'!$C$1:$E$100,2,FALSE)</f>
        <v>Utenze e canoni</v>
      </c>
      <c r="O621" s="131">
        <v>2080</v>
      </c>
      <c r="P621" s="614" t="str">
        <f>VLOOKUP(O621,'Centri di Costo'!$A$2:$B$179,2,FALSE)</f>
        <v>Att. Ord. Thiene - Spese Generali</v>
      </c>
      <c r="Q621" s="624" t="s">
        <v>2014</v>
      </c>
      <c r="R621" s="642" t="s">
        <v>58</v>
      </c>
    </row>
    <row r="622" spans="1:18" ht="28.5" customHeight="1" outlineLevel="2">
      <c r="A622" s="85" t="s">
        <v>308</v>
      </c>
      <c r="B622" s="402">
        <v>22</v>
      </c>
      <c r="C622" s="85" t="s">
        <v>309</v>
      </c>
      <c r="D622" s="148" t="s">
        <v>7</v>
      </c>
      <c r="E622" s="87">
        <v>2018</v>
      </c>
      <c r="F622" s="88">
        <v>27</v>
      </c>
      <c r="G622" s="120" t="s">
        <v>321</v>
      </c>
      <c r="H622" s="581" t="s">
        <v>66</v>
      </c>
      <c r="I622" s="601">
        <v>20000</v>
      </c>
      <c r="J622" s="595" t="s">
        <v>9</v>
      </c>
      <c r="K622" s="91">
        <v>1</v>
      </c>
      <c r="L622" s="91">
        <v>3</v>
      </c>
      <c r="M622" s="92">
        <v>45</v>
      </c>
      <c r="N622" s="119" t="str">
        <f>VLOOKUP(M622,'PF Uscite Sp. Corr.'!$C$1:$E$100,2,FALSE)</f>
        <v>Utenze e canoni</v>
      </c>
      <c r="O622" s="131">
        <v>2110</v>
      </c>
      <c r="P622" s="614" t="str">
        <f>VLOOKUP(O622,'Centri di Costo'!$A$2:$B$179,2,FALSE)</f>
        <v>Att. Ord. Thiene - Centro Produz. Fermenti e Laboratorio</v>
      </c>
      <c r="Q622" s="619" t="s">
        <v>2003</v>
      </c>
      <c r="R622" s="642" t="s">
        <v>67</v>
      </c>
    </row>
    <row r="623" spans="1:18" ht="28.5" customHeight="1" outlineLevel="2">
      <c r="A623" s="85" t="s">
        <v>308</v>
      </c>
      <c r="B623" s="402">
        <v>22</v>
      </c>
      <c r="C623" s="85" t="s">
        <v>309</v>
      </c>
      <c r="D623" s="148" t="s">
        <v>7</v>
      </c>
      <c r="E623" s="87">
        <v>2018</v>
      </c>
      <c r="F623" s="88">
        <v>27</v>
      </c>
      <c r="G623" s="120" t="s">
        <v>321</v>
      </c>
      <c r="H623" s="581" t="s">
        <v>62</v>
      </c>
      <c r="I623" s="601">
        <v>30000</v>
      </c>
      <c r="J623" s="595" t="s">
        <v>9</v>
      </c>
      <c r="K623" s="91">
        <v>1</v>
      </c>
      <c r="L623" s="91">
        <v>3</v>
      </c>
      <c r="M623" s="92">
        <v>45</v>
      </c>
      <c r="N623" s="119" t="str">
        <f>VLOOKUP(M623,'PF Uscite Sp. Corr.'!$C$1:$E$100,2,FALSE)</f>
        <v>Utenze e canoni</v>
      </c>
      <c r="O623" s="131">
        <v>2110</v>
      </c>
      <c r="P623" s="614" t="str">
        <f>VLOOKUP(O623,'Centri di Costo'!$A$2:$B$179,2,FALSE)</f>
        <v>Att. Ord. Thiene - Centro Produz. Fermenti e Laboratorio</v>
      </c>
      <c r="Q623" s="624" t="s">
        <v>2014</v>
      </c>
      <c r="R623" s="642" t="s">
        <v>63</v>
      </c>
    </row>
    <row r="624" spans="1:18" ht="28.5" customHeight="1" outlineLevel="2">
      <c r="A624" s="85" t="s">
        <v>308</v>
      </c>
      <c r="B624" s="402">
        <v>22</v>
      </c>
      <c r="C624" s="85" t="s">
        <v>309</v>
      </c>
      <c r="D624" s="148" t="s">
        <v>7</v>
      </c>
      <c r="E624" s="87">
        <v>2018</v>
      </c>
      <c r="F624" s="88">
        <v>27</v>
      </c>
      <c r="G624" s="120" t="s">
        <v>321</v>
      </c>
      <c r="H624" s="581" t="s">
        <v>57</v>
      </c>
      <c r="I624" s="601">
        <v>70000</v>
      </c>
      <c r="J624" s="595" t="s">
        <v>9</v>
      </c>
      <c r="K624" s="91">
        <v>1</v>
      </c>
      <c r="L624" s="91">
        <v>3</v>
      </c>
      <c r="M624" s="92">
        <v>45</v>
      </c>
      <c r="N624" s="119" t="str">
        <f>VLOOKUP(M624,'PF Uscite Sp. Corr.'!$C$1:$E$100,2,FALSE)</f>
        <v>Utenze e canoni</v>
      </c>
      <c r="O624" s="131">
        <v>2110</v>
      </c>
      <c r="P624" s="614" t="str">
        <f>VLOOKUP(O624,'Centri di Costo'!$A$2:$B$179,2,FALSE)</f>
        <v>Att. Ord. Thiene - Centro Produz. Fermenti e Laboratorio</v>
      </c>
      <c r="Q624" s="624" t="s">
        <v>2014</v>
      </c>
      <c r="R624" s="642" t="s">
        <v>58</v>
      </c>
    </row>
    <row r="625" spans="1:18" ht="28.5" customHeight="1" outlineLevel="2">
      <c r="A625" s="85" t="s">
        <v>308</v>
      </c>
      <c r="B625" s="402">
        <v>22</v>
      </c>
      <c r="C625" s="85" t="s">
        <v>309</v>
      </c>
      <c r="D625" s="148" t="s">
        <v>7</v>
      </c>
      <c r="E625" s="87">
        <v>2018</v>
      </c>
      <c r="F625" s="88">
        <v>44</v>
      </c>
      <c r="G625" s="120" t="s">
        <v>347</v>
      </c>
      <c r="H625" s="581" t="s">
        <v>355</v>
      </c>
      <c r="I625" s="601">
        <v>3000</v>
      </c>
      <c r="J625" s="595" t="s">
        <v>9</v>
      </c>
      <c r="K625" s="91">
        <v>1</v>
      </c>
      <c r="L625" s="91">
        <v>3</v>
      </c>
      <c r="M625" s="92">
        <v>47</v>
      </c>
      <c r="N625" s="119" t="str">
        <f>VLOOKUP(M625,'PF Uscite Sp. Corr.'!$C$1:$E$100,2,FALSE)</f>
        <v>Utilizzo di beni di terzi</v>
      </c>
      <c r="O625" s="131">
        <v>2080</v>
      </c>
      <c r="P625" s="614" t="str">
        <f>VLOOKUP(O625,'Centri di Costo'!$A$2:$B$179,2,FALSE)</f>
        <v>Att. Ord. Thiene - Spese Generali</v>
      </c>
      <c r="Q625" s="619" t="s">
        <v>2003</v>
      </c>
      <c r="R625" s="642" t="s">
        <v>356</v>
      </c>
    </row>
    <row r="626" spans="1:18" ht="28.5" customHeight="1" outlineLevel="2">
      <c r="A626" s="85" t="s">
        <v>308</v>
      </c>
      <c r="B626" s="402">
        <v>22</v>
      </c>
      <c r="C626" s="85" t="s">
        <v>309</v>
      </c>
      <c r="D626" s="148" t="s">
        <v>7</v>
      </c>
      <c r="E626" s="87">
        <v>2018</v>
      </c>
      <c r="F626" s="88">
        <v>39</v>
      </c>
      <c r="G626" s="120" t="s">
        <v>333</v>
      </c>
      <c r="H626" s="581" t="s">
        <v>335</v>
      </c>
      <c r="I626" s="601">
        <v>48312</v>
      </c>
      <c r="J626" s="595" t="s">
        <v>9</v>
      </c>
      <c r="K626" s="91">
        <v>1</v>
      </c>
      <c r="L626" s="91">
        <v>3</v>
      </c>
      <c r="M626" s="92">
        <v>48</v>
      </c>
      <c r="N626" s="119" t="str">
        <f>VLOOKUP(M626,'PF Uscite Sp. Corr.'!$C$1:$E$100,2,FALSE)</f>
        <v>Leasing operativo</v>
      </c>
      <c r="O626" s="131">
        <v>2020</v>
      </c>
      <c r="P626" s="614" t="str">
        <f>VLOOKUP(O626,'Centri di Costo'!$A$2:$B$179,2,FALSE)</f>
        <v>Att. Ord. Thiene - Laboratorio Chimica</v>
      </c>
      <c r="Q626" s="619" t="s">
        <v>2003</v>
      </c>
      <c r="R626" s="642" t="s">
        <v>336</v>
      </c>
    </row>
    <row r="627" spans="1:18" ht="28.5" customHeight="1" outlineLevel="2">
      <c r="A627" s="85" t="s">
        <v>308</v>
      </c>
      <c r="B627" s="402">
        <v>22</v>
      </c>
      <c r="C627" s="85" t="s">
        <v>309</v>
      </c>
      <c r="D627" s="148" t="s">
        <v>7</v>
      </c>
      <c r="E627" s="87">
        <v>2018</v>
      </c>
      <c r="F627" s="88">
        <v>40</v>
      </c>
      <c r="G627" s="120" t="s">
        <v>327</v>
      </c>
      <c r="H627" s="581" t="s">
        <v>332</v>
      </c>
      <c r="I627" s="601">
        <v>32000</v>
      </c>
      <c r="J627" s="595" t="s">
        <v>9</v>
      </c>
      <c r="K627" s="91">
        <v>1</v>
      </c>
      <c r="L627" s="91">
        <v>3</v>
      </c>
      <c r="M627" s="92">
        <v>49</v>
      </c>
      <c r="N627" s="119" t="str">
        <f>VLOOKUP(M627,'PF Uscite Sp. Corr.'!$C$1:$E$100,2,FALSE)</f>
        <v>Manutenzione ordinaria e riparazioni</v>
      </c>
      <c r="O627" s="131">
        <v>2010</v>
      </c>
      <c r="P627" s="614" t="str">
        <f>VLOOKUP(O627,'Centri di Costo'!$A$2:$B$179,2,FALSE)</f>
        <v>Att. Ord. Thiene - Laboratorio Latte</v>
      </c>
      <c r="Q627" s="619" t="s">
        <v>2003</v>
      </c>
      <c r="R627" s="642" t="s">
        <v>312</v>
      </c>
    </row>
    <row r="628" spans="1:18" ht="28.5" customHeight="1" outlineLevel="2">
      <c r="A628" s="85" t="s">
        <v>308</v>
      </c>
      <c r="B628" s="402">
        <v>22</v>
      </c>
      <c r="C628" s="85" t="s">
        <v>309</v>
      </c>
      <c r="D628" s="148" t="s">
        <v>7</v>
      </c>
      <c r="E628" s="87">
        <v>2018</v>
      </c>
      <c r="F628" s="88">
        <v>39</v>
      </c>
      <c r="G628" s="120" t="s">
        <v>333</v>
      </c>
      <c r="H628" s="581" t="s">
        <v>337</v>
      </c>
      <c r="I628" s="601">
        <v>42000</v>
      </c>
      <c r="J628" s="595" t="s">
        <v>9</v>
      </c>
      <c r="K628" s="91">
        <v>1</v>
      </c>
      <c r="L628" s="91">
        <v>3</v>
      </c>
      <c r="M628" s="92">
        <v>49</v>
      </c>
      <c r="N628" s="119" t="str">
        <f>VLOOKUP(M628,'PF Uscite Sp. Corr.'!$C$1:$E$100,2,FALSE)</f>
        <v>Manutenzione ordinaria e riparazioni</v>
      </c>
      <c r="O628" s="131">
        <v>2020</v>
      </c>
      <c r="P628" s="614" t="str">
        <f>VLOOKUP(O628,'Centri di Costo'!$A$2:$B$179,2,FALSE)</f>
        <v>Att. Ord. Thiene - Laboratorio Chimica</v>
      </c>
      <c r="Q628" s="619" t="s">
        <v>2003</v>
      </c>
      <c r="R628" s="642" t="s">
        <v>312</v>
      </c>
    </row>
    <row r="629" spans="1:18" ht="28.5" customHeight="1" outlineLevel="2">
      <c r="A629" s="85" t="s">
        <v>308</v>
      </c>
      <c r="B629" s="402">
        <v>22</v>
      </c>
      <c r="C629" s="85" t="s">
        <v>309</v>
      </c>
      <c r="D629" s="148" t="s">
        <v>7</v>
      </c>
      <c r="E629" s="87">
        <v>2018</v>
      </c>
      <c r="F629" s="88">
        <v>41</v>
      </c>
      <c r="G629" s="120" t="s">
        <v>343</v>
      </c>
      <c r="H629" s="581" t="s">
        <v>332</v>
      </c>
      <c r="I629" s="601">
        <v>7900</v>
      </c>
      <c r="J629" s="595" t="s">
        <v>9</v>
      </c>
      <c r="K629" s="91">
        <v>1</v>
      </c>
      <c r="L629" s="91">
        <v>3</v>
      </c>
      <c r="M629" s="92">
        <v>49</v>
      </c>
      <c r="N629" s="119" t="str">
        <f>VLOOKUP(M629,'PF Uscite Sp. Corr.'!$C$1:$E$100,2,FALSE)</f>
        <v>Manutenzione ordinaria e riparazioni</v>
      </c>
      <c r="O629" s="131">
        <v>2030</v>
      </c>
      <c r="P629" s="614" t="str">
        <f>VLOOKUP(O629,'Centri di Costo'!$A$2:$B$179,2,FALSE)</f>
        <v>Att. Ord. Thiene - Laboratorio Sensoriale</v>
      </c>
      <c r="Q629" s="619" t="s">
        <v>2003</v>
      </c>
      <c r="R629" s="642" t="s">
        <v>322</v>
      </c>
    </row>
    <row r="630" spans="1:18" ht="28.5" customHeight="1" outlineLevel="2">
      <c r="A630" s="85" t="s">
        <v>308</v>
      </c>
      <c r="B630" s="402">
        <v>22</v>
      </c>
      <c r="C630" s="85" t="s">
        <v>309</v>
      </c>
      <c r="D630" s="148" t="s">
        <v>7</v>
      </c>
      <c r="E630" s="87">
        <v>2018</v>
      </c>
      <c r="F630" s="88">
        <v>44</v>
      </c>
      <c r="G630" s="120" t="s">
        <v>347</v>
      </c>
      <c r="H630" s="581" t="s">
        <v>332</v>
      </c>
      <c r="I630" s="601">
        <v>14500</v>
      </c>
      <c r="J630" s="595" t="s">
        <v>9</v>
      </c>
      <c r="K630" s="91">
        <v>1</v>
      </c>
      <c r="L630" s="91">
        <v>3</v>
      </c>
      <c r="M630" s="92">
        <v>49</v>
      </c>
      <c r="N630" s="119" t="str">
        <f>VLOOKUP(M630,'PF Uscite Sp. Corr.'!$C$1:$E$100,2,FALSE)</f>
        <v>Manutenzione ordinaria e riparazioni</v>
      </c>
      <c r="O630" s="131">
        <v>2080</v>
      </c>
      <c r="P630" s="614" t="str">
        <f>VLOOKUP(O630,'Centri di Costo'!$A$2:$B$179,2,FALSE)</f>
        <v>Att. Ord. Thiene - Spese Generali</v>
      </c>
      <c r="Q630" s="619" t="s">
        <v>2003</v>
      </c>
      <c r="R630" s="642" t="s">
        <v>322</v>
      </c>
    </row>
    <row r="631" spans="1:18" ht="28.5" customHeight="1" outlineLevel="2">
      <c r="A631" s="85" t="s">
        <v>308</v>
      </c>
      <c r="B631" s="402">
        <v>22</v>
      </c>
      <c r="C631" s="85" t="s">
        <v>309</v>
      </c>
      <c r="D631" s="148" t="s">
        <v>7</v>
      </c>
      <c r="E631" s="87">
        <v>2018</v>
      </c>
      <c r="F631" s="88">
        <v>44</v>
      </c>
      <c r="G631" s="120" t="s">
        <v>347</v>
      </c>
      <c r="H631" s="581" t="s">
        <v>361</v>
      </c>
      <c r="I631" s="601">
        <v>45000</v>
      </c>
      <c r="J631" s="595" t="s">
        <v>9</v>
      </c>
      <c r="K631" s="91">
        <v>1</v>
      </c>
      <c r="L631" s="91">
        <v>3</v>
      </c>
      <c r="M631" s="92">
        <v>49</v>
      </c>
      <c r="N631" s="119" t="str">
        <f>VLOOKUP(M631,'PF Uscite Sp. Corr.'!$C$1:$E$100,2,FALSE)</f>
        <v>Manutenzione ordinaria e riparazioni</v>
      </c>
      <c r="O631" s="131">
        <v>2080</v>
      </c>
      <c r="P631" s="614" t="str">
        <f>VLOOKUP(O631,'Centri di Costo'!$A$2:$B$179,2,FALSE)</f>
        <v>Att. Ord. Thiene - Spese Generali</v>
      </c>
      <c r="Q631" s="619" t="s">
        <v>2003</v>
      </c>
      <c r="R631" s="642" t="s">
        <v>99</v>
      </c>
    </row>
    <row r="632" spans="1:18" ht="28.5" customHeight="1" outlineLevel="2">
      <c r="A632" s="85" t="s">
        <v>308</v>
      </c>
      <c r="B632" s="402">
        <v>22</v>
      </c>
      <c r="C632" s="85" t="s">
        <v>309</v>
      </c>
      <c r="D632" s="148" t="s">
        <v>7</v>
      </c>
      <c r="E632" s="87">
        <v>2018</v>
      </c>
      <c r="F632" s="88">
        <v>44</v>
      </c>
      <c r="G632" s="120" t="s">
        <v>347</v>
      </c>
      <c r="H632" s="581" t="s">
        <v>373</v>
      </c>
      <c r="I632" s="601">
        <v>5500</v>
      </c>
      <c r="J632" s="595" t="s">
        <v>9</v>
      </c>
      <c r="K632" s="91">
        <v>1</v>
      </c>
      <c r="L632" s="91">
        <v>3</v>
      </c>
      <c r="M632" s="92">
        <v>49</v>
      </c>
      <c r="N632" s="119" t="str">
        <f>VLOOKUP(M632,'PF Uscite Sp. Corr.'!$C$1:$E$100,2,FALSE)</f>
        <v>Manutenzione ordinaria e riparazioni</v>
      </c>
      <c r="O632" s="131">
        <v>2080</v>
      </c>
      <c r="P632" s="614" t="str">
        <f>VLOOKUP(O632,'Centri di Costo'!$A$2:$B$179,2,FALSE)</f>
        <v>Att. Ord. Thiene - Spese Generali</v>
      </c>
      <c r="Q632" s="619" t="s">
        <v>2003</v>
      </c>
      <c r="R632" s="642" t="s">
        <v>109</v>
      </c>
    </row>
    <row r="633" spans="1:18" ht="28.5" customHeight="1" outlineLevel="2">
      <c r="A633" s="85" t="s">
        <v>308</v>
      </c>
      <c r="B633" s="402">
        <v>22</v>
      </c>
      <c r="C633" s="85" t="s">
        <v>309</v>
      </c>
      <c r="D633" s="148" t="s">
        <v>7</v>
      </c>
      <c r="E633" s="87">
        <v>2018</v>
      </c>
      <c r="F633" s="88">
        <v>44</v>
      </c>
      <c r="G633" s="120" t="s">
        <v>347</v>
      </c>
      <c r="H633" s="581" t="s">
        <v>374</v>
      </c>
      <c r="I633" s="601">
        <v>5000</v>
      </c>
      <c r="J633" s="595" t="s">
        <v>9</v>
      </c>
      <c r="K633" s="91">
        <v>1</v>
      </c>
      <c r="L633" s="91">
        <v>3</v>
      </c>
      <c r="M633" s="92">
        <v>49</v>
      </c>
      <c r="N633" s="119" t="str">
        <f>VLOOKUP(M633,'PF Uscite Sp. Corr.'!$C$1:$E$100,2,FALSE)</f>
        <v>Manutenzione ordinaria e riparazioni</v>
      </c>
      <c r="O633" s="131">
        <v>2080</v>
      </c>
      <c r="P633" s="614" t="str">
        <f>VLOOKUP(O633,'Centri di Costo'!$A$2:$B$179,2,FALSE)</f>
        <v>Att. Ord. Thiene - Spese Generali</v>
      </c>
      <c r="Q633" s="619" t="s">
        <v>2003</v>
      </c>
      <c r="R633" s="642" t="s">
        <v>61</v>
      </c>
    </row>
    <row r="634" spans="1:18" ht="28.5" customHeight="1" outlineLevel="2">
      <c r="A634" s="85" t="s">
        <v>308</v>
      </c>
      <c r="B634" s="402">
        <v>22</v>
      </c>
      <c r="C634" s="85" t="s">
        <v>309</v>
      </c>
      <c r="D634" s="148" t="s">
        <v>7</v>
      </c>
      <c r="E634" s="87">
        <v>2018</v>
      </c>
      <c r="F634" s="88">
        <v>27</v>
      </c>
      <c r="G634" s="120" t="s">
        <v>321</v>
      </c>
      <c r="H634" s="581" t="s">
        <v>311</v>
      </c>
      <c r="I634" s="601">
        <v>50000</v>
      </c>
      <c r="J634" s="595" t="s">
        <v>9</v>
      </c>
      <c r="K634" s="91">
        <v>1</v>
      </c>
      <c r="L634" s="91">
        <v>3</v>
      </c>
      <c r="M634" s="92">
        <v>49</v>
      </c>
      <c r="N634" s="119" t="str">
        <f>VLOOKUP(M634,'PF Uscite Sp. Corr.'!$C$1:$E$100,2,FALSE)</f>
        <v>Manutenzione ordinaria e riparazioni</v>
      </c>
      <c r="O634" s="131">
        <v>2110</v>
      </c>
      <c r="P634" s="614" t="str">
        <f>VLOOKUP(O634,'Centri di Costo'!$A$2:$B$179,2,FALSE)</f>
        <v>Att. Ord. Thiene - Centro Produz. Fermenti e Laboratorio</v>
      </c>
      <c r="Q634" s="619" t="s">
        <v>2003</v>
      </c>
      <c r="R634" s="642" t="s">
        <v>322</v>
      </c>
    </row>
    <row r="635" spans="1:18" ht="28.5" customHeight="1" outlineLevel="2">
      <c r="A635" s="85" t="s">
        <v>308</v>
      </c>
      <c r="B635" s="402">
        <v>22</v>
      </c>
      <c r="C635" s="85" t="s">
        <v>309</v>
      </c>
      <c r="D635" s="148" t="s">
        <v>7</v>
      </c>
      <c r="E635" s="87">
        <v>2018</v>
      </c>
      <c r="F635" s="88">
        <v>25</v>
      </c>
      <c r="G635" s="120" t="s">
        <v>310</v>
      </c>
      <c r="H635" s="581" t="s">
        <v>311</v>
      </c>
      <c r="I635" s="601">
        <v>5000</v>
      </c>
      <c r="J635" s="595" t="s">
        <v>9</v>
      </c>
      <c r="K635" s="91">
        <v>1</v>
      </c>
      <c r="L635" s="91">
        <v>3</v>
      </c>
      <c r="M635" s="92">
        <v>49</v>
      </c>
      <c r="N635" s="119" t="str">
        <f>VLOOKUP(M635,'PF Uscite Sp. Corr.'!$C$1:$E$100,2,FALSE)</f>
        <v>Manutenzione ordinaria e riparazioni</v>
      </c>
      <c r="O635" s="131">
        <v>2120</v>
      </c>
      <c r="P635" s="614" t="str">
        <f>VLOOKUP(O635,'Centri di Costo'!$A$2:$B$179,2,FALSE)</f>
        <v xml:space="preserve">Att. Ord. Thiene - Laboratori Lab. Biotecnologie e Microbiologia </v>
      </c>
      <c r="Q635" s="619" t="s">
        <v>2003</v>
      </c>
      <c r="R635" s="642" t="s">
        <v>312</v>
      </c>
    </row>
    <row r="636" spans="1:18" ht="28.5" customHeight="1" outlineLevel="2">
      <c r="A636" s="85" t="s">
        <v>308</v>
      </c>
      <c r="B636" s="402">
        <v>22</v>
      </c>
      <c r="C636" s="85" t="s">
        <v>309</v>
      </c>
      <c r="D636" s="148" t="s">
        <v>7</v>
      </c>
      <c r="E636" s="87">
        <v>2018</v>
      </c>
      <c r="F636" s="88">
        <v>44</v>
      </c>
      <c r="G636" s="120" t="s">
        <v>347</v>
      </c>
      <c r="H636" s="581" t="s">
        <v>370</v>
      </c>
      <c r="I636" s="601">
        <v>4000</v>
      </c>
      <c r="J636" s="595" t="s">
        <v>9</v>
      </c>
      <c r="K636" s="91">
        <v>1</v>
      </c>
      <c r="L636" s="91">
        <v>3</v>
      </c>
      <c r="M636" s="92">
        <v>51</v>
      </c>
      <c r="N636" s="119" t="str">
        <f>VLOOKUP(M636,'PF Uscite Sp. Corr.'!$C$1:$E$100,2,FALSE)</f>
        <v>Prestazioni professionali e specialistiche</v>
      </c>
      <c r="O636" s="131">
        <v>2080</v>
      </c>
      <c r="P636" s="614" t="str">
        <f>VLOOKUP(O636,'Centri di Costo'!$A$2:$B$179,2,FALSE)</f>
        <v>Att. Ord. Thiene - Spese Generali</v>
      </c>
      <c r="Q636" s="619" t="s">
        <v>2003</v>
      </c>
      <c r="R636" s="642" t="s">
        <v>87</v>
      </c>
    </row>
    <row r="637" spans="1:18" ht="28.5" customHeight="1" outlineLevel="2">
      <c r="A637" s="85" t="s">
        <v>308</v>
      </c>
      <c r="B637" s="402">
        <v>22</v>
      </c>
      <c r="C637" s="85" t="s">
        <v>309</v>
      </c>
      <c r="D637" s="148" t="s">
        <v>7</v>
      </c>
      <c r="E637" s="87">
        <v>2018</v>
      </c>
      <c r="F637" s="88">
        <v>40</v>
      </c>
      <c r="G637" s="120" t="s">
        <v>327</v>
      </c>
      <c r="H637" s="581" t="s">
        <v>329</v>
      </c>
      <c r="I637" s="601">
        <v>12000</v>
      </c>
      <c r="J637" s="595" t="s">
        <v>9</v>
      </c>
      <c r="K637" s="91">
        <v>1</v>
      </c>
      <c r="L637" s="91">
        <v>3</v>
      </c>
      <c r="M637" s="92">
        <v>53</v>
      </c>
      <c r="N637" s="119" t="str">
        <f>VLOOKUP(M637,'PF Uscite Sp. Corr.'!$C$1:$E$100,2,FALSE)</f>
        <v>Servizi ausiliari per il funzionamento dell'ente</v>
      </c>
      <c r="O637" s="131">
        <v>2010</v>
      </c>
      <c r="P637" s="614" t="str">
        <f>VLOOKUP(O637,'Centri di Costo'!$A$2:$B$179,2,FALSE)</f>
        <v>Att. Ord. Thiene - Laboratorio Latte</v>
      </c>
      <c r="Q637" s="619" t="s">
        <v>2003</v>
      </c>
      <c r="R637" s="642" t="s">
        <v>78</v>
      </c>
    </row>
    <row r="638" spans="1:18" ht="28.5" customHeight="1" outlineLevel="2">
      <c r="A638" s="85" t="s">
        <v>308</v>
      </c>
      <c r="B638" s="402">
        <v>22</v>
      </c>
      <c r="C638" s="85" t="s">
        <v>309</v>
      </c>
      <c r="D638" s="148" t="s">
        <v>7</v>
      </c>
      <c r="E638" s="87">
        <v>2018</v>
      </c>
      <c r="F638" s="88">
        <v>40</v>
      </c>
      <c r="G638" s="120" t="s">
        <v>327</v>
      </c>
      <c r="H638" s="581" t="s">
        <v>330</v>
      </c>
      <c r="I638" s="601">
        <v>2000</v>
      </c>
      <c r="J638" s="595" t="s">
        <v>9</v>
      </c>
      <c r="K638" s="91">
        <v>1</v>
      </c>
      <c r="L638" s="91">
        <v>3</v>
      </c>
      <c r="M638" s="92">
        <v>53</v>
      </c>
      <c r="N638" s="119" t="str">
        <f>VLOOKUP(M638,'PF Uscite Sp. Corr.'!$C$1:$E$100,2,FALSE)</f>
        <v>Servizi ausiliari per il funzionamento dell'ente</v>
      </c>
      <c r="O638" s="131">
        <v>2010</v>
      </c>
      <c r="P638" s="614" t="str">
        <f>VLOOKUP(O638,'Centri di Costo'!$A$2:$B$179,2,FALSE)</f>
        <v>Att. Ord. Thiene - Laboratorio Latte</v>
      </c>
      <c r="Q638" s="619" t="s">
        <v>2003</v>
      </c>
      <c r="R638" s="642" t="s">
        <v>331</v>
      </c>
    </row>
    <row r="639" spans="1:18" ht="28.5" customHeight="1" outlineLevel="2">
      <c r="A639" s="85" t="s">
        <v>308</v>
      </c>
      <c r="B639" s="402">
        <v>22</v>
      </c>
      <c r="C639" s="85" t="s">
        <v>309</v>
      </c>
      <c r="D639" s="148" t="s">
        <v>7</v>
      </c>
      <c r="E639" s="87">
        <v>2018</v>
      </c>
      <c r="F639" s="88">
        <v>39</v>
      </c>
      <c r="G639" s="120" t="s">
        <v>333</v>
      </c>
      <c r="H639" s="581" t="s">
        <v>334</v>
      </c>
      <c r="I639" s="601">
        <v>14000</v>
      </c>
      <c r="J639" s="595" t="s">
        <v>9</v>
      </c>
      <c r="K639" s="91">
        <v>1</v>
      </c>
      <c r="L639" s="91">
        <v>3</v>
      </c>
      <c r="M639" s="92">
        <v>53</v>
      </c>
      <c r="N639" s="119" t="str">
        <f>VLOOKUP(M639,'PF Uscite Sp. Corr.'!$C$1:$E$100,2,FALSE)</f>
        <v>Servizi ausiliari per il funzionamento dell'ente</v>
      </c>
      <c r="O639" s="131">
        <v>2020</v>
      </c>
      <c r="P639" s="614" t="str">
        <f>VLOOKUP(O639,'Centri di Costo'!$A$2:$B$179,2,FALSE)</f>
        <v>Att. Ord. Thiene - Laboratorio Chimica</v>
      </c>
      <c r="Q639" s="619" t="s">
        <v>2003</v>
      </c>
      <c r="R639" s="642" t="s">
        <v>78</v>
      </c>
    </row>
    <row r="640" spans="1:18" ht="28.5" customHeight="1" outlineLevel="2">
      <c r="A640" s="85" t="s">
        <v>308</v>
      </c>
      <c r="B640" s="402">
        <v>22</v>
      </c>
      <c r="C640" s="85" t="s">
        <v>309</v>
      </c>
      <c r="D640" s="148" t="s">
        <v>7</v>
      </c>
      <c r="E640" s="87">
        <v>2018</v>
      </c>
      <c r="F640" s="88">
        <v>39</v>
      </c>
      <c r="G640" s="120" t="s">
        <v>333</v>
      </c>
      <c r="H640" s="581" t="s">
        <v>338</v>
      </c>
      <c r="I640" s="601">
        <v>1000</v>
      </c>
      <c r="J640" s="595" t="s">
        <v>9</v>
      </c>
      <c r="K640" s="91">
        <v>1</v>
      </c>
      <c r="L640" s="91">
        <v>3</v>
      </c>
      <c r="M640" s="92">
        <v>53</v>
      </c>
      <c r="N640" s="119" t="str">
        <f>VLOOKUP(M640,'PF Uscite Sp. Corr.'!$C$1:$E$100,2,FALSE)</f>
        <v>Servizi ausiliari per il funzionamento dell'ente</v>
      </c>
      <c r="O640" s="131">
        <v>2020</v>
      </c>
      <c r="P640" s="614" t="str">
        <f>VLOOKUP(O640,'Centri di Costo'!$A$2:$B$179,2,FALSE)</f>
        <v>Att. Ord. Thiene - Laboratorio Chimica</v>
      </c>
      <c r="Q640" s="619" t="s">
        <v>2003</v>
      </c>
      <c r="R640" s="642" t="s">
        <v>315</v>
      </c>
    </row>
    <row r="641" spans="1:18" ht="28.5" customHeight="1" outlineLevel="2">
      <c r="A641" s="85" t="s">
        <v>308</v>
      </c>
      <c r="B641" s="402">
        <v>22</v>
      </c>
      <c r="C641" s="85" t="s">
        <v>309</v>
      </c>
      <c r="D641" s="148" t="s">
        <v>7</v>
      </c>
      <c r="E641" s="87">
        <v>2018</v>
      </c>
      <c r="F641" s="88">
        <v>41</v>
      </c>
      <c r="G641" s="120" t="s">
        <v>343</v>
      </c>
      <c r="H641" s="581" t="s">
        <v>345</v>
      </c>
      <c r="I641" s="601">
        <v>500</v>
      </c>
      <c r="J641" s="595" t="s">
        <v>9</v>
      </c>
      <c r="K641" s="91">
        <v>1</v>
      </c>
      <c r="L641" s="91">
        <v>3</v>
      </c>
      <c r="M641" s="92">
        <v>53</v>
      </c>
      <c r="N641" s="119" t="str">
        <f>VLOOKUP(M641,'PF Uscite Sp. Corr.'!$C$1:$E$100,2,FALSE)</f>
        <v>Servizi ausiliari per il funzionamento dell'ente</v>
      </c>
      <c r="O641" s="131">
        <v>2030</v>
      </c>
      <c r="P641" s="614" t="str">
        <f>VLOOKUP(O641,'Centri di Costo'!$A$2:$B$179,2,FALSE)</f>
        <v>Att. Ord. Thiene - Laboratorio Sensoriale</v>
      </c>
      <c r="Q641" s="619" t="s">
        <v>2003</v>
      </c>
      <c r="R641" s="642" t="s">
        <v>331</v>
      </c>
    </row>
    <row r="642" spans="1:18" ht="28.5" customHeight="1" outlineLevel="2">
      <c r="A642" s="85" t="s">
        <v>308</v>
      </c>
      <c r="B642" s="402">
        <v>22</v>
      </c>
      <c r="C642" s="85" t="s">
        <v>309</v>
      </c>
      <c r="D642" s="148" t="s">
        <v>7</v>
      </c>
      <c r="E642" s="87">
        <v>2018</v>
      </c>
      <c r="F642" s="88">
        <v>41</v>
      </c>
      <c r="G642" s="120" t="s">
        <v>343</v>
      </c>
      <c r="H642" s="581" t="s">
        <v>346</v>
      </c>
      <c r="I642" s="601">
        <v>9500</v>
      </c>
      <c r="J642" s="595" t="s">
        <v>9</v>
      </c>
      <c r="K642" s="91">
        <v>1</v>
      </c>
      <c r="L642" s="91">
        <v>3</v>
      </c>
      <c r="M642" s="92">
        <v>53</v>
      </c>
      <c r="N642" s="119" t="str">
        <f>VLOOKUP(M642,'PF Uscite Sp. Corr.'!$C$1:$E$100,2,FALSE)</f>
        <v>Servizi ausiliari per il funzionamento dell'ente</v>
      </c>
      <c r="O642" s="131">
        <v>2030</v>
      </c>
      <c r="P642" s="614" t="str">
        <f>VLOOKUP(O642,'Centri di Costo'!$A$2:$B$179,2,FALSE)</f>
        <v>Att. Ord. Thiene - Laboratorio Sensoriale</v>
      </c>
      <c r="Q642" s="619" t="s">
        <v>2003</v>
      </c>
      <c r="R642" s="642" t="s">
        <v>78</v>
      </c>
    </row>
    <row r="643" spans="1:18" ht="28.5" customHeight="1" outlineLevel="2">
      <c r="A643" s="85" t="s">
        <v>308</v>
      </c>
      <c r="B643" s="402">
        <v>22</v>
      </c>
      <c r="C643" s="85" t="s">
        <v>309</v>
      </c>
      <c r="D643" s="148" t="s">
        <v>7</v>
      </c>
      <c r="E643" s="87">
        <v>2018</v>
      </c>
      <c r="F643" s="88">
        <v>44</v>
      </c>
      <c r="G643" s="120" t="s">
        <v>347</v>
      </c>
      <c r="H643" s="581" t="s">
        <v>348</v>
      </c>
      <c r="I643" s="601">
        <v>10000</v>
      </c>
      <c r="J643" s="595" t="s">
        <v>9</v>
      </c>
      <c r="K643" s="91">
        <v>1</v>
      </c>
      <c r="L643" s="91">
        <v>3</v>
      </c>
      <c r="M643" s="92">
        <v>53</v>
      </c>
      <c r="N643" s="119" t="str">
        <f>VLOOKUP(M643,'PF Uscite Sp. Corr.'!$C$1:$E$100,2,FALSE)</f>
        <v>Servizi ausiliari per il funzionamento dell'ente</v>
      </c>
      <c r="O643" s="131">
        <v>2080</v>
      </c>
      <c r="P643" s="614" t="str">
        <f>VLOOKUP(O643,'Centri di Costo'!$A$2:$B$179,2,FALSE)</f>
        <v>Att. Ord. Thiene - Spese Generali</v>
      </c>
      <c r="Q643" s="619" t="s">
        <v>2003</v>
      </c>
      <c r="R643" s="642" t="s">
        <v>78</v>
      </c>
    </row>
    <row r="644" spans="1:18" ht="28.5" customHeight="1" outlineLevel="2">
      <c r="A644" s="85" t="s">
        <v>308</v>
      </c>
      <c r="B644" s="402">
        <v>22</v>
      </c>
      <c r="C644" s="85" t="s">
        <v>309</v>
      </c>
      <c r="D644" s="148" t="s">
        <v>7</v>
      </c>
      <c r="E644" s="87">
        <v>2018</v>
      </c>
      <c r="F644" s="88">
        <v>44</v>
      </c>
      <c r="G644" s="120" t="s">
        <v>347</v>
      </c>
      <c r="H644" s="581" t="s">
        <v>368</v>
      </c>
      <c r="I644" s="601">
        <v>75000</v>
      </c>
      <c r="J644" s="595" t="s">
        <v>9</v>
      </c>
      <c r="K644" s="91">
        <v>1</v>
      </c>
      <c r="L644" s="91">
        <v>3</v>
      </c>
      <c r="M644" s="92">
        <v>53</v>
      </c>
      <c r="N644" s="119" t="str">
        <f>VLOOKUP(M644,'PF Uscite Sp. Corr.'!$C$1:$E$100,2,FALSE)</f>
        <v>Servizi ausiliari per il funzionamento dell'ente</v>
      </c>
      <c r="O644" s="131">
        <v>2080</v>
      </c>
      <c r="P644" s="614" t="str">
        <f>VLOOKUP(O644,'Centri di Costo'!$A$2:$B$179,2,FALSE)</f>
        <v>Att. Ord. Thiene - Spese Generali</v>
      </c>
      <c r="Q644" s="619" t="s">
        <v>2014</v>
      </c>
      <c r="R644" s="642" t="s">
        <v>315</v>
      </c>
    </row>
    <row r="645" spans="1:18" ht="28.5" customHeight="1" outlineLevel="2">
      <c r="A645" s="85" t="s">
        <v>308</v>
      </c>
      <c r="B645" s="402">
        <v>22</v>
      </c>
      <c r="C645" s="85" t="s">
        <v>309</v>
      </c>
      <c r="D645" s="148" t="s">
        <v>7</v>
      </c>
      <c r="E645" s="87">
        <v>2018</v>
      </c>
      <c r="F645" s="88">
        <v>44</v>
      </c>
      <c r="G645" s="120" t="s">
        <v>347</v>
      </c>
      <c r="H645" s="581" t="s">
        <v>369</v>
      </c>
      <c r="I645" s="601">
        <v>4000</v>
      </c>
      <c r="J645" s="595" t="s">
        <v>9</v>
      </c>
      <c r="K645" s="91">
        <v>1</v>
      </c>
      <c r="L645" s="91">
        <v>3</v>
      </c>
      <c r="M645" s="92">
        <v>53</v>
      </c>
      <c r="N645" s="119" t="str">
        <f>VLOOKUP(M645,'PF Uscite Sp. Corr.'!$C$1:$E$100,2,FALSE)</f>
        <v>Servizi ausiliari per il funzionamento dell'ente</v>
      </c>
      <c r="O645" s="131">
        <v>2080</v>
      </c>
      <c r="P645" s="614" t="str">
        <f>VLOOKUP(O645,'Centri di Costo'!$A$2:$B$179,2,FALSE)</f>
        <v>Att. Ord. Thiene - Spese Generali</v>
      </c>
      <c r="Q645" s="619" t="s">
        <v>2014</v>
      </c>
      <c r="R645" s="642" t="s">
        <v>54</v>
      </c>
    </row>
    <row r="646" spans="1:18" ht="28.5" customHeight="1" outlineLevel="2">
      <c r="A646" s="85" t="s">
        <v>308</v>
      </c>
      <c r="B646" s="402">
        <v>22</v>
      </c>
      <c r="C646" s="85" t="s">
        <v>309</v>
      </c>
      <c r="D646" s="148" t="s">
        <v>7</v>
      </c>
      <c r="E646" s="87">
        <v>2018</v>
      </c>
      <c r="F646" s="88">
        <v>44</v>
      </c>
      <c r="G646" s="120" t="s">
        <v>347</v>
      </c>
      <c r="H646" s="581" t="s">
        <v>371</v>
      </c>
      <c r="I646" s="601">
        <v>1000</v>
      </c>
      <c r="J646" s="595" t="s">
        <v>9</v>
      </c>
      <c r="K646" s="91">
        <v>1</v>
      </c>
      <c r="L646" s="91">
        <v>3</v>
      </c>
      <c r="M646" s="92">
        <v>53</v>
      </c>
      <c r="N646" s="119" t="str">
        <f>VLOOKUP(M646,'PF Uscite Sp. Corr.'!$C$1:$E$100,2,FALSE)</f>
        <v>Servizi ausiliari per il funzionamento dell'ente</v>
      </c>
      <c r="O646" s="131">
        <v>2080</v>
      </c>
      <c r="P646" s="614" t="str">
        <f>VLOOKUP(O646,'Centri di Costo'!$A$2:$B$179,2,FALSE)</f>
        <v>Att. Ord. Thiene - Spese Generali</v>
      </c>
      <c r="Q646" s="619" t="s">
        <v>2003</v>
      </c>
      <c r="R646" s="642" t="s">
        <v>372</v>
      </c>
    </row>
    <row r="647" spans="1:18" ht="28.5" customHeight="1" outlineLevel="2">
      <c r="A647" s="85" t="s">
        <v>308</v>
      </c>
      <c r="B647" s="402">
        <v>22</v>
      </c>
      <c r="C647" s="85" t="s">
        <v>309</v>
      </c>
      <c r="D647" s="148" t="s">
        <v>7</v>
      </c>
      <c r="E647" s="87">
        <v>2018</v>
      </c>
      <c r="F647" s="88">
        <v>27</v>
      </c>
      <c r="G647" s="120" t="s">
        <v>321</v>
      </c>
      <c r="H647" s="581" t="s">
        <v>314</v>
      </c>
      <c r="I647" s="601">
        <v>30000</v>
      </c>
      <c r="J647" s="595" t="s">
        <v>9</v>
      </c>
      <c r="K647" s="91">
        <v>1</v>
      </c>
      <c r="L647" s="91">
        <v>3</v>
      </c>
      <c r="M647" s="92">
        <v>53</v>
      </c>
      <c r="N647" s="119" t="str">
        <f>VLOOKUP(M647,'PF Uscite Sp. Corr.'!$C$1:$E$100,2,FALSE)</f>
        <v>Servizi ausiliari per il funzionamento dell'ente</v>
      </c>
      <c r="O647" s="131">
        <v>2110</v>
      </c>
      <c r="P647" s="614" t="str">
        <f>VLOOKUP(O647,'Centri di Costo'!$A$2:$B$179,2,FALSE)</f>
        <v>Att. Ord. Thiene - Centro Produz. Fermenti e Laboratorio</v>
      </c>
      <c r="Q647" s="619" t="s">
        <v>2003</v>
      </c>
      <c r="R647" s="642" t="s">
        <v>315</v>
      </c>
    </row>
    <row r="648" spans="1:18" ht="28.5" customHeight="1" outlineLevel="2">
      <c r="A648" s="85" t="s">
        <v>308</v>
      </c>
      <c r="B648" s="402">
        <v>22</v>
      </c>
      <c r="C648" s="85" t="s">
        <v>309</v>
      </c>
      <c r="D648" s="148" t="s">
        <v>7</v>
      </c>
      <c r="E648" s="87">
        <v>2018</v>
      </c>
      <c r="F648" s="88">
        <v>27</v>
      </c>
      <c r="G648" s="120" t="s">
        <v>321</v>
      </c>
      <c r="H648" s="581" t="s">
        <v>326</v>
      </c>
      <c r="I648" s="601">
        <v>15000</v>
      </c>
      <c r="J648" s="595" t="s">
        <v>9</v>
      </c>
      <c r="K648" s="91">
        <v>1</v>
      </c>
      <c r="L648" s="91">
        <v>3</v>
      </c>
      <c r="M648" s="92">
        <v>53</v>
      </c>
      <c r="N648" s="119" t="str">
        <f>VLOOKUP(M648,'PF Uscite Sp. Corr.'!$C$1:$E$100,2,FALSE)</f>
        <v>Servizi ausiliari per il funzionamento dell'ente</v>
      </c>
      <c r="O648" s="131">
        <v>2110</v>
      </c>
      <c r="P648" s="614" t="str">
        <f>VLOOKUP(O648,'Centri di Costo'!$A$2:$B$179,2,FALSE)</f>
        <v>Att. Ord. Thiene - Centro Produz. Fermenti e Laboratorio</v>
      </c>
      <c r="Q648" s="619" t="s">
        <v>2003</v>
      </c>
      <c r="R648" s="642" t="s">
        <v>78</v>
      </c>
    </row>
    <row r="649" spans="1:18" ht="36" customHeight="1" outlineLevel="2">
      <c r="A649" s="85" t="s">
        <v>308</v>
      </c>
      <c r="B649" s="402">
        <v>22</v>
      </c>
      <c r="C649" s="85" t="s">
        <v>309</v>
      </c>
      <c r="D649" s="148" t="s">
        <v>7</v>
      </c>
      <c r="E649" s="87">
        <v>2018</v>
      </c>
      <c r="F649" s="88">
        <v>25</v>
      </c>
      <c r="G649" s="120" t="s">
        <v>310</v>
      </c>
      <c r="H649" s="581" t="s">
        <v>313</v>
      </c>
      <c r="I649" s="601">
        <v>9300</v>
      </c>
      <c r="J649" s="595" t="s">
        <v>9</v>
      </c>
      <c r="K649" s="91">
        <v>1</v>
      </c>
      <c r="L649" s="91">
        <v>3</v>
      </c>
      <c r="M649" s="92">
        <v>53</v>
      </c>
      <c r="N649" s="119" t="str">
        <f>VLOOKUP(M649,'PF Uscite Sp. Corr.'!$C$1:$E$100,2,FALSE)</f>
        <v>Servizi ausiliari per il funzionamento dell'ente</v>
      </c>
      <c r="O649" s="131">
        <v>2120</v>
      </c>
      <c r="P649" s="614" t="str">
        <f>VLOOKUP(O649,'Centri di Costo'!$A$2:$B$179,2,FALSE)</f>
        <v xml:space="preserve">Att. Ord. Thiene - Laboratori Lab. Biotecnologie e Microbiologia </v>
      </c>
      <c r="Q649" s="619" t="s">
        <v>2003</v>
      </c>
      <c r="R649" s="642" t="s">
        <v>78</v>
      </c>
    </row>
    <row r="650" spans="1:18" ht="39" customHeight="1" outlineLevel="2">
      <c r="A650" s="85" t="s">
        <v>308</v>
      </c>
      <c r="B650" s="402">
        <v>22</v>
      </c>
      <c r="C650" s="85" t="s">
        <v>309</v>
      </c>
      <c r="D650" s="148" t="s">
        <v>7</v>
      </c>
      <c r="E650" s="87">
        <v>2018</v>
      </c>
      <c r="F650" s="88">
        <v>25</v>
      </c>
      <c r="G650" s="120" t="s">
        <v>310</v>
      </c>
      <c r="H650" s="581" t="s">
        <v>314</v>
      </c>
      <c r="I650" s="601">
        <v>700</v>
      </c>
      <c r="J650" s="595" t="s">
        <v>9</v>
      </c>
      <c r="K650" s="91">
        <v>1</v>
      </c>
      <c r="L650" s="91">
        <v>3</v>
      </c>
      <c r="M650" s="92">
        <v>53</v>
      </c>
      <c r="N650" s="119" t="str">
        <f>VLOOKUP(M650,'PF Uscite Sp. Corr.'!$C$1:$E$100,2,FALSE)</f>
        <v>Servizi ausiliari per il funzionamento dell'ente</v>
      </c>
      <c r="O650" s="131">
        <v>2120</v>
      </c>
      <c r="P650" s="614" t="str">
        <f>VLOOKUP(O650,'Centri di Costo'!$A$2:$B$179,2,FALSE)</f>
        <v xml:space="preserve">Att. Ord. Thiene - Laboratori Lab. Biotecnologie e Microbiologia </v>
      </c>
      <c r="Q650" s="619" t="s">
        <v>2003</v>
      </c>
      <c r="R650" s="642" t="s">
        <v>315</v>
      </c>
    </row>
    <row r="651" spans="1:18" ht="28.5" customHeight="1" outlineLevel="2">
      <c r="A651" s="85" t="s">
        <v>308</v>
      </c>
      <c r="B651" s="402">
        <v>22</v>
      </c>
      <c r="C651" s="85" t="s">
        <v>309</v>
      </c>
      <c r="D651" s="148" t="s">
        <v>7</v>
      </c>
      <c r="E651" s="87">
        <v>2018</v>
      </c>
      <c r="F651" s="88">
        <v>44</v>
      </c>
      <c r="G651" s="120" t="s">
        <v>347</v>
      </c>
      <c r="H651" s="581" t="s">
        <v>240</v>
      </c>
      <c r="I651" s="601">
        <v>500</v>
      </c>
      <c r="J651" s="595" t="s">
        <v>9</v>
      </c>
      <c r="K651" s="91">
        <v>1</v>
      </c>
      <c r="L651" s="91">
        <v>3</v>
      </c>
      <c r="M651" s="92">
        <v>55</v>
      </c>
      <c r="N651" s="119" t="str">
        <f>VLOOKUP(M651,'PF Uscite Sp. Corr.'!$C$1:$E$100,2,FALSE)</f>
        <v>Altri servizi</v>
      </c>
      <c r="O651" s="131">
        <v>2080</v>
      </c>
      <c r="P651" s="614" t="str">
        <f>VLOOKUP(O651,'Centri di Costo'!$A$2:$B$179,2,FALSE)</f>
        <v>Att. Ord. Thiene - Spese Generali</v>
      </c>
      <c r="Q651" s="619" t="s">
        <v>2003</v>
      </c>
      <c r="R651" s="642" t="s">
        <v>239</v>
      </c>
    </row>
    <row r="652" spans="1:18" ht="28.5" customHeight="1" outlineLevel="2">
      <c r="A652" s="85" t="s">
        <v>308</v>
      </c>
      <c r="B652" s="402">
        <v>22</v>
      </c>
      <c r="C652" s="85" t="s">
        <v>309</v>
      </c>
      <c r="D652" s="148" t="s">
        <v>7</v>
      </c>
      <c r="E652" s="87">
        <v>2018</v>
      </c>
      <c r="F652" s="88">
        <v>44</v>
      </c>
      <c r="G652" s="120" t="s">
        <v>347</v>
      </c>
      <c r="H652" s="581" t="s">
        <v>1579</v>
      </c>
      <c r="I652" s="601">
        <v>500</v>
      </c>
      <c r="J652" s="595" t="s">
        <v>9</v>
      </c>
      <c r="K652" s="91">
        <v>1</v>
      </c>
      <c r="L652" s="91">
        <v>3</v>
      </c>
      <c r="M652" s="92">
        <v>55</v>
      </c>
      <c r="N652" s="119" t="str">
        <f>VLOOKUP(M652,'PF Uscite Sp. Corr.'!$C$1:$E$100,2,FALSE)</f>
        <v>Altri servizi</v>
      </c>
      <c r="O652" s="131">
        <v>2080</v>
      </c>
      <c r="P652" s="614" t="str">
        <f>VLOOKUP(O652,'Centri di Costo'!$A$2:$B$179,2,FALSE)</f>
        <v>Att. Ord. Thiene - Spese Generali</v>
      </c>
      <c r="Q652" s="619" t="s">
        <v>2003</v>
      </c>
      <c r="R652" s="642" t="s">
        <v>239</v>
      </c>
    </row>
    <row r="653" spans="1:18" ht="28.5" customHeight="1" outlineLevel="2">
      <c r="A653" s="85" t="s">
        <v>308</v>
      </c>
      <c r="B653" s="402">
        <v>22</v>
      </c>
      <c r="C653" s="85" t="s">
        <v>309</v>
      </c>
      <c r="D653" s="148" t="s">
        <v>7</v>
      </c>
      <c r="E653" s="87">
        <v>2018</v>
      </c>
      <c r="F653" s="88">
        <v>44</v>
      </c>
      <c r="G653" s="120" t="s">
        <v>347</v>
      </c>
      <c r="H653" s="581" t="s">
        <v>1581</v>
      </c>
      <c r="I653" s="601">
        <v>750</v>
      </c>
      <c r="J653" s="595" t="s">
        <v>9</v>
      </c>
      <c r="K653" s="91">
        <v>1</v>
      </c>
      <c r="L653" s="91">
        <v>3</v>
      </c>
      <c r="M653" s="92">
        <v>55</v>
      </c>
      <c r="N653" s="119" t="str">
        <f>VLOOKUP(M653,'PF Uscite Sp. Corr.'!$C$1:$E$100,2,FALSE)</f>
        <v>Altri servizi</v>
      </c>
      <c r="O653" s="131">
        <v>2080</v>
      </c>
      <c r="P653" s="614" t="str">
        <f>VLOOKUP(O653,'Centri di Costo'!$A$2:$B$179,2,FALSE)</f>
        <v>Att. Ord. Thiene - Spese Generali</v>
      </c>
      <c r="Q653" s="619" t="s">
        <v>2003</v>
      </c>
      <c r="R653" s="642" t="s">
        <v>239</v>
      </c>
    </row>
    <row r="654" spans="1:18" ht="28.5" customHeight="1" outlineLevel="2">
      <c r="A654" s="85" t="s">
        <v>308</v>
      </c>
      <c r="B654" s="402">
        <v>22</v>
      </c>
      <c r="C654" s="85" t="s">
        <v>309</v>
      </c>
      <c r="D654" s="148" t="s">
        <v>7</v>
      </c>
      <c r="E654" s="87">
        <v>2018</v>
      </c>
      <c r="F654" s="88">
        <v>44</v>
      </c>
      <c r="G654" s="120" t="s">
        <v>347</v>
      </c>
      <c r="H654" s="581" t="s">
        <v>1580</v>
      </c>
      <c r="I654" s="601">
        <v>750</v>
      </c>
      <c r="J654" s="595" t="s">
        <v>9</v>
      </c>
      <c r="K654" s="91">
        <v>1</v>
      </c>
      <c r="L654" s="91">
        <v>3</v>
      </c>
      <c r="M654" s="92">
        <v>55</v>
      </c>
      <c r="N654" s="119" t="str">
        <f>VLOOKUP(M654,'PF Uscite Sp. Corr.'!$C$1:$E$100,2,FALSE)</f>
        <v>Altri servizi</v>
      </c>
      <c r="O654" s="131">
        <v>2080</v>
      </c>
      <c r="P654" s="614" t="str">
        <f>VLOOKUP(O654,'Centri di Costo'!$A$2:$B$179,2,FALSE)</f>
        <v>Att. Ord. Thiene - Spese Generali</v>
      </c>
      <c r="Q654" s="619" t="s">
        <v>2003</v>
      </c>
      <c r="R654" s="642" t="s">
        <v>239</v>
      </c>
    </row>
    <row r="655" spans="1:18" ht="28.5" customHeight="1" outlineLevel="2">
      <c r="A655" s="85" t="s">
        <v>308</v>
      </c>
      <c r="B655" s="402">
        <v>22</v>
      </c>
      <c r="C655" s="85" t="s">
        <v>309</v>
      </c>
      <c r="D655" s="148" t="s">
        <v>7</v>
      </c>
      <c r="E655" s="87">
        <v>2018</v>
      </c>
      <c r="F655" s="88">
        <v>44</v>
      </c>
      <c r="G655" s="120" t="s">
        <v>347</v>
      </c>
      <c r="H655" s="581" t="s">
        <v>172</v>
      </c>
      <c r="I655" s="601">
        <v>3000</v>
      </c>
      <c r="J655" s="595" t="s">
        <v>9</v>
      </c>
      <c r="K655" s="91">
        <v>1</v>
      </c>
      <c r="L655" s="91">
        <v>3</v>
      </c>
      <c r="M655" s="92">
        <v>56</v>
      </c>
      <c r="N655" s="119" t="str">
        <f>VLOOKUP(M655,'PF Uscite Sp. Corr.'!$C$1:$E$100,2,FALSE)</f>
        <v>Servizi amministrativi</v>
      </c>
      <c r="O655" s="131">
        <v>2080</v>
      </c>
      <c r="P655" s="614" t="str">
        <f>VLOOKUP(O655,'Centri di Costo'!$A$2:$B$179,2,FALSE)</f>
        <v>Att. Ord. Thiene - Spese Generali</v>
      </c>
      <c r="Q655" s="619" t="s">
        <v>2003</v>
      </c>
      <c r="R655" s="642" t="s">
        <v>173</v>
      </c>
    </row>
    <row r="656" spans="1:18" ht="28.5" customHeight="1" outlineLevel="2">
      <c r="A656" s="85" t="s">
        <v>308</v>
      </c>
      <c r="B656" s="402">
        <v>22</v>
      </c>
      <c r="C656" s="85" t="s">
        <v>309</v>
      </c>
      <c r="D656" s="148" t="s">
        <v>7</v>
      </c>
      <c r="E656" s="87">
        <v>2018</v>
      </c>
      <c r="F656" s="88">
        <v>44</v>
      </c>
      <c r="G656" s="120" t="s">
        <v>347</v>
      </c>
      <c r="H656" s="581" t="s">
        <v>349</v>
      </c>
      <c r="I656" s="601">
        <v>2000</v>
      </c>
      <c r="J656" s="595" t="s">
        <v>9</v>
      </c>
      <c r="K656" s="91">
        <v>1</v>
      </c>
      <c r="L656" s="91">
        <v>3</v>
      </c>
      <c r="M656" s="92">
        <v>57</v>
      </c>
      <c r="N656" s="119" t="str">
        <f>VLOOKUP(M656,'PF Uscite Sp. Corr.'!$C$1:$E$100,2,FALSE)</f>
        <v>Servizi finanziari</v>
      </c>
      <c r="O656" s="131">
        <v>2080</v>
      </c>
      <c r="P656" s="614" t="str">
        <f>VLOOKUP(O656,'Centri di Costo'!$A$2:$B$179,2,FALSE)</f>
        <v>Att. Ord. Thiene - Spese Generali</v>
      </c>
      <c r="Q656" s="619" t="s">
        <v>2003</v>
      </c>
      <c r="R656" s="642" t="s">
        <v>350</v>
      </c>
    </row>
    <row r="657" spans="1:18" ht="28.5" customHeight="1" outlineLevel="2">
      <c r="A657" s="85" t="s">
        <v>89</v>
      </c>
      <c r="B657" s="402">
        <v>22</v>
      </c>
      <c r="C657" s="85" t="s">
        <v>150</v>
      </c>
      <c r="D657" s="148" t="s">
        <v>7</v>
      </c>
      <c r="E657" s="87">
        <v>2018</v>
      </c>
      <c r="F657" s="88">
        <v>133</v>
      </c>
      <c r="G657" s="120" t="s">
        <v>200</v>
      </c>
      <c r="H657" s="581" t="s">
        <v>211</v>
      </c>
      <c r="I657" s="601">
        <v>1000</v>
      </c>
      <c r="J657" s="595" t="s">
        <v>9</v>
      </c>
      <c r="K657" s="91">
        <v>1</v>
      </c>
      <c r="L657" s="91">
        <v>3</v>
      </c>
      <c r="M657" s="92">
        <v>59</v>
      </c>
      <c r="N657" s="119" t="str">
        <f>VLOOKUP(M657,'PF Uscite Sp. Corr.'!$C$1:$E$100,2,FALSE)</f>
        <v>Servizi informatici e di telecomunicazioni</v>
      </c>
      <c r="O657" s="131">
        <v>2080</v>
      </c>
      <c r="P657" s="614" t="str">
        <f>VLOOKUP(O657,'Centri di Costo'!$A$2:$B$179,2,FALSE)</f>
        <v>Att. Ord. Thiene - Spese Generali</v>
      </c>
      <c r="Q657" s="624" t="s">
        <v>2014</v>
      </c>
      <c r="R657" s="642" t="s">
        <v>202</v>
      </c>
    </row>
    <row r="658" spans="1:18" ht="28.5" customHeight="1" outlineLevel="2">
      <c r="A658" s="85" t="s">
        <v>89</v>
      </c>
      <c r="B658" s="402">
        <v>22</v>
      </c>
      <c r="C658" s="85" t="s">
        <v>150</v>
      </c>
      <c r="D658" s="148" t="s">
        <v>7</v>
      </c>
      <c r="E658" s="87">
        <v>2018</v>
      </c>
      <c r="F658" s="88">
        <v>133</v>
      </c>
      <c r="G658" s="120" t="s">
        <v>200</v>
      </c>
      <c r="H658" s="581" t="s">
        <v>216</v>
      </c>
      <c r="I658" s="601">
        <v>4500</v>
      </c>
      <c r="J658" s="595" t="s">
        <v>9</v>
      </c>
      <c r="K658" s="91">
        <v>1</v>
      </c>
      <c r="L658" s="91">
        <v>3</v>
      </c>
      <c r="M658" s="92">
        <v>59</v>
      </c>
      <c r="N658" s="119" t="str">
        <f>VLOOKUP(M658,'PF Uscite Sp. Corr.'!$C$1:$E$100,2,FALSE)</f>
        <v>Servizi informatici e di telecomunicazioni</v>
      </c>
      <c r="O658" s="131">
        <v>2080</v>
      </c>
      <c r="P658" s="614" t="str">
        <f>VLOOKUP(O658,'Centri di Costo'!$A$2:$B$179,2,FALSE)</f>
        <v>Att. Ord. Thiene - Spese Generali</v>
      </c>
      <c r="Q658" s="624" t="s">
        <v>2014</v>
      </c>
      <c r="R658" s="642" t="s">
        <v>202</v>
      </c>
    </row>
    <row r="659" spans="1:18" ht="28.5" customHeight="1" outlineLevel="2">
      <c r="A659" s="85" t="s">
        <v>308</v>
      </c>
      <c r="B659" s="402">
        <v>22</v>
      </c>
      <c r="C659" s="85" t="s">
        <v>309</v>
      </c>
      <c r="D659" s="148" t="s">
        <v>7</v>
      </c>
      <c r="E659" s="87">
        <v>2018</v>
      </c>
      <c r="F659" s="88">
        <v>44</v>
      </c>
      <c r="G659" s="120" t="s">
        <v>347</v>
      </c>
      <c r="H659" s="581" t="s">
        <v>352</v>
      </c>
      <c r="I659" s="601">
        <v>2150</v>
      </c>
      <c r="J659" s="595" t="s">
        <v>9</v>
      </c>
      <c r="K659" s="91">
        <v>1</v>
      </c>
      <c r="L659" s="91">
        <v>10</v>
      </c>
      <c r="M659" s="92">
        <v>86</v>
      </c>
      <c r="N659" s="119" t="str">
        <f>VLOOKUP(M659,'PF Uscite Sp. Corr.'!$C$1:$E$100,2,FALSE)</f>
        <v>Premi di assicurazione contro i danni</v>
      </c>
      <c r="O659" s="131">
        <v>2080</v>
      </c>
      <c r="P659" s="614" t="str">
        <f>VLOOKUP(O659,'Centri di Costo'!$A$2:$B$179,2,FALSE)</f>
        <v>Att. Ord. Thiene - Spese Generali</v>
      </c>
      <c r="Q659" s="624" t="s">
        <v>2014</v>
      </c>
      <c r="R659" s="642" t="s">
        <v>59</v>
      </c>
    </row>
    <row r="660" spans="1:18" ht="28.5" customHeight="1" outlineLevel="2">
      <c r="A660" s="85" t="s">
        <v>308</v>
      </c>
      <c r="B660" s="402">
        <v>22</v>
      </c>
      <c r="C660" s="85" t="s">
        <v>309</v>
      </c>
      <c r="D660" s="148" t="s">
        <v>7</v>
      </c>
      <c r="E660" s="87">
        <v>2018</v>
      </c>
      <c r="F660" s="88">
        <v>44</v>
      </c>
      <c r="G660" s="120" t="s">
        <v>347</v>
      </c>
      <c r="H660" s="581" t="s">
        <v>354</v>
      </c>
      <c r="I660" s="601">
        <v>9850</v>
      </c>
      <c r="J660" s="595" t="s">
        <v>9</v>
      </c>
      <c r="K660" s="91">
        <v>1</v>
      </c>
      <c r="L660" s="91">
        <v>10</v>
      </c>
      <c r="M660" s="92">
        <v>86</v>
      </c>
      <c r="N660" s="119" t="str">
        <f>VLOOKUP(M660,'PF Uscite Sp. Corr.'!$C$1:$E$100,2,FALSE)</f>
        <v>Premi di assicurazione contro i danni</v>
      </c>
      <c r="O660" s="131">
        <v>2080</v>
      </c>
      <c r="P660" s="614" t="str">
        <f>VLOOKUP(O660,'Centri di Costo'!$A$2:$B$179,2,FALSE)</f>
        <v>Att. Ord. Thiene - Spese Generali</v>
      </c>
      <c r="Q660" s="624" t="s">
        <v>2014</v>
      </c>
      <c r="R660" s="642" t="s">
        <v>56</v>
      </c>
    </row>
    <row r="661" spans="1:18" s="139" customFormat="1" ht="28.5" customHeight="1" outlineLevel="2">
      <c r="A661" s="115" t="s">
        <v>308</v>
      </c>
      <c r="B661" s="404">
        <v>22</v>
      </c>
      <c r="C661" s="115" t="s">
        <v>309</v>
      </c>
      <c r="D661" s="417" t="s">
        <v>7</v>
      </c>
      <c r="E661" s="412">
        <v>2018</v>
      </c>
      <c r="F661" s="413">
        <v>44</v>
      </c>
      <c r="G661" s="123" t="s">
        <v>347</v>
      </c>
      <c r="H661" s="583" t="s">
        <v>353</v>
      </c>
      <c r="I661" s="603">
        <v>5000</v>
      </c>
      <c r="J661" s="596" t="s">
        <v>9</v>
      </c>
      <c r="K661" s="216">
        <v>1</v>
      </c>
      <c r="L661" s="216">
        <v>10</v>
      </c>
      <c r="M661" s="418">
        <v>96</v>
      </c>
      <c r="N661" s="118" t="str">
        <f>VLOOKUP(M661,'PF Uscite Sp. Corr.'!$C$1:$E$100,2,FALSE)</f>
        <v>Altre spese correnti n.a.c.</v>
      </c>
      <c r="O661" s="419">
        <v>2080</v>
      </c>
      <c r="P661" s="615" t="str">
        <f>VLOOKUP(O661,'Centri di Costo'!$A$2:$B$179,2,FALSE)</f>
        <v>Att. Ord. Thiene - Spese Generali</v>
      </c>
      <c r="Q661" s="619" t="s">
        <v>2003</v>
      </c>
      <c r="R661" s="648" t="s">
        <v>34</v>
      </c>
    </row>
    <row r="662" spans="1:18" s="215" customFormat="1" ht="20.25" customHeight="1" outlineLevel="1" collapsed="1">
      <c r="A662" s="160"/>
      <c r="B662" s="433" t="s">
        <v>1906</v>
      </c>
      <c r="C662" s="161"/>
      <c r="D662" s="437"/>
      <c r="E662" s="438"/>
      <c r="F662" s="438"/>
      <c r="G662" s="441" t="s">
        <v>1938</v>
      </c>
      <c r="H662" s="214" t="s">
        <v>1955</v>
      </c>
      <c r="I662" s="605">
        <f>SUBTOTAL(9,I589:I661)</f>
        <v>1127500</v>
      </c>
      <c r="J662" s="212"/>
      <c r="K662" s="179"/>
      <c r="L662" s="179"/>
      <c r="M662" s="213"/>
      <c r="N662" s="434"/>
      <c r="O662" s="439"/>
      <c r="P662" s="435"/>
      <c r="Q662" s="620"/>
      <c r="R662" s="645"/>
    </row>
    <row r="663" spans="1:18" s="205" customFormat="1" ht="13.5" customHeight="1">
      <c r="A663" s="535"/>
      <c r="B663" s="536"/>
      <c r="C663" s="537"/>
      <c r="D663" s="537"/>
      <c r="E663" s="537"/>
      <c r="F663" s="540"/>
      <c r="G663" s="537" t="str">
        <f>C664</f>
        <v>SETTORE ECONOMIA, MERCATI E COMPETITIVITA'</v>
      </c>
      <c r="H663" s="537"/>
      <c r="I663" s="599"/>
      <c r="J663" s="537"/>
      <c r="K663" s="537"/>
      <c r="L663" s="537"/>
      <c r="M663" s="537"/>
      <c r="N663" s="537"/>
      <c r="O663" s="538"/>
      <c r="P663" s="539"/>
      <c r="Q663" s="618"/>
      <c r="R663" s="638"/>
    </row>
    <row r="664" spans="1:18" ht="28.5" customHeight="1" outlineLevel="2">
      <c r="A664" s="94" t="s">
        <v>308</v>
      </c>
      <c r="B664" s="402" t="s">
        <v>1869</v>
      </c>
      <c r="C664" s="94" t="s">
        <v>384</v>
      </c>
      <c r="D664" s="149" t="s">
        <v>7</v>
      </c>
      <c r="E664" s="101">
        <v>2018</v>
      </c>
      <c r="F664" s="102">
        <v>162</v>
      </c>
      <c r="G664" s="121" t="s">
        <v>404</v>
      </c>
      <c r="H664" s="580" t="s">
        <v>1104</v>
      </c>
      <c r="I664" s="600">
        <v>76000</v>
      </c>
      <c r="J664" s="594" t="s">
        <v>35</v>
      </c>
      <c r="K664" s="99">
        <v>1</v>
      </c>
      <c r="L664" s="99">
        <v>1</v>
      </c>
      <c r="M664" s="209" t="s">
        <v>1532</v>
      </c>
      <c r="N664" s="577" t="str">
        <f>VLOOKUP(M664,'PF Uscite Sp. Corr.'!$C$1:$E$100,2,FALSE)</f>
        <v>Salari, Oneri Sociali, Acc. TFR, Buoni Pasto (e IRAP su retribuz. se dovuta) OTI</v>
      </c>
      <c r="O664" s="132">
        <v>2710</v>
      </c>
      <c r="P664" s="613" t="str">
        <f>VLOOKUP(O664,'Centri di Costo'!$A$2:$B$179,2,FALSE)</f>
        <v xml:space="preserve">Bonello - Attività Ordinaria </v>
      </c>
      <c r="Q664" s="621" t="s">
        <v>1998</v>
      </c>
      <c r="R664" s="639" t="s">
        <v>427</v>
      </c>
    </row>
    <row r="665" spans="1:18" ht="28.5" customHeight="1" outlineLevel="2">
      <c r="A665" s="85" t="s">
        <v>308</v>
      </c>
      <c r="B665" s="400" t="s">
        <v>1869</v>
      </c>
      <c r="C665" s="85" t="s">
        <v>384</v>
      </c>
      <c r="D665" s="148" t="s">
        <v>7</v>
      </c>
      <c r="E665" s="87">
        <v>2018</v>
      </c>
      <c r="F665" s="88">
        <v>162</v>
      </c>
      <c r="G665" s="120" t="s">
        <v>404</v>
      </c>
      <c r="H665" s="581" t="s">
        <v>362</v>
      </c>
      <c r="I665" s="601">
        <v>100</v>
      </c>
      <c r="J665" s="595" t="s">
        <v>35</v>
      </c>
      <c r="K665" s="91">
        <v>1</v>
      </c>
      <c r="L665" s="91">
        <v>2</v>
      </c>
      <c r="M665" s="92">
        <v>12</v>
      </c>
      <c r="N665" s="119" t="str">
        <f>VLOOKUP(M665,'PF Uscite Sp. Corr.'!$C$1:$E$100,2,FALSE)</f>
        <v>Imposta di registro e di bollo</v>
      </c>
      <c r="O665" s="131">
        <v>2710</v>
      </c>
      <c r="P665" s="614" t="str">
        <f>VLOOKUP(O665,'Centri di Costo'!$A$2:$B$179,2,FALSE)</f>
        <v xml:space="preserve">Bonello - Attività Ordinaria </v>
      </c>
      <c r="Q665" s="622" t="s">
        <v>1844</v>
      </c>
      <c r="R665" s="642" t="s">
        <v>47</v>
      </c>
    </row>
    <row r="666" spans="1:18" ht="28.5" customHeight="1" outlineLevel="2">
      <c r="A666" s="85" t="s">
        <v>308</v>
      </c>
      <c r="B666" s="400" t="s">
        <v>1869</v>
      </c>
      <c r="C666" s="85" t="s">
        <v>384</v>
      </c>
      <c r="D666" s="148" t="s">
        <v>7</v>
      </c>
      <c r="E666" s="87">
        <v>2018</v>
      </c>
      <c r="F666" s="88">
        <v>162</v>
      </c>
      <c r="G666" s="120" t="s">
        <v>404</v>
      </c>
      <c r="H666" s="581" t="s">
        <v>428</v>
      </c>
      <c r="I666" s="601">
        <v>100</v>
      </c>
      <c r="J666" s="595" t="s">
        <v>35</v>
      </c>
      <c r="K666" s="91">
        <v>1</v>
      </c>
      <c r="L666" s="91">
        <v>2</v>
      </c>
      <c r="M666" s="92">
        <v>13</v>
      </c>
      <c r="N666" s="119" t="str">
        <f>VLOOKUP(M666,'PF Uscite Sp. Corr.'!$C$1:$E$100,2,FALSE)</f>
        <v>Imposta comunale sulla pubblicità e diritto sulle pubbliche affissioni</v>
      </c>
      <c r="O666" s="131">
        <v>2710</v>
      </c>
      <c r="P666" s="614" t="str">
        <f>VLOOKUP(O666,'Centri di Costo'!$A$2:$B$179,2,FALSE)</f>
        <v xml:space="preserve">Bonello - Attività Ordinaria </v>
      </c>
      <c r="Q666" s="622" t="s">
        <v>1844</v>
      </c>
      <c r="R666" s="642" t="s">
        <v>429</v>
      </c>
    </row>
    <row r="667" spans="1:18" ht="28.5" customHeight="1" outlineLevel="2">
      <c r="A667" s="85" t="s">
        <v>308</v>
      </c>
      <c r="B667" s="400" t="s">
        <v>1869</v>
      </c>
      <c r="C667" s="85" t="s">
        <v>384</v>
      </c>
      <c r="D667" s="148" t="s">
        <v>7</v>
      </c>
      <c r="E667" s="87">
        <v>2018</v>
      </c>
      <c r="F667" s="88">
        <v>162</v>
      </c>
      <c r="G667" s="120" t="s">
        <v>404</v>
      </c>
      <c r="H667" s="581" t="s">
        <v>440</v>
      </c>
      <c r="I667" s="601">
        <v>3600</v>
      </c>
      <c r="J667" s="595" t="s">
        <v>35</v>
      </c>
      <c r="K667" s="91">
        <v>1</v>
      </c>
      <c r="L667" s="91">
        <v>2</v>
      </c>
      <c r="M667" s="92">
        <v>16</v>
      </c>
      <c r="N667" s="119" t="str">
        <f>VLOOKUP(M667,'PF Uscite Sp. Corr.'!$C$1:$E$100,2,FALSE)</f>
        <v>Tassa e/o tariffa smaltimento rifiuti solidi urbani</v>
      </c>
      <c r="O667" s="131">
        <v>2710</v>
      </c>
      <c r="P667" s="614" t="str">
        <f>VLOOKUP(O667,'Centri di Costo'!$A$2:$B$179,2,FALSE)</f>
        <v xml:space="preserve">Bonello - Attività Ordinaria </v>
      </c>
      <c r="Q667" s="622" t="s">
        <v>1844</v>
      </c>
      <c r="R667" s="642" t="s">
        <v>71</v>
      </c>
    </row>
    <row r="668" spans="1:18" ht="28.5" customHeight="1" outlineLevel="2">
      <c r="A668" s="85" t="s">
        <v>308</v>
      </c>
      <c r="B668" s="400" t="s">
        <v>1869</v>
      </c>
      <c r="C668" s="85" t="s">
        <v>384</v>
      </c>
      <c r="D668" s="148" t="s">
        <v>7</v>
      </c>
      <c r="E668" s="87">
        <v>2018</v>
      </c>
      <c r="F668" s="88">
        <v>162</v>
      </c>
      <c r="G668" s="120" t="s">
        <v>404</v>
      </c>
      <c r="H668" s="581" t="s">
        <v>430</v>
      </c>
      <c r="I668" s="601">
        <v>100</v>
      </c>
      <c r="J668" s="595" t="s">
        <v>35</v>
      </c>
      <c r="K668" s="91">
        <v>1</v>
      </c>
      <c r="L668" s="91">
        <v>2</v>
      </c>
      <c r="M668" s="92">
        <v>19</v>
      </c>
      <c r="N668" s="119" t="str">
        <f>VLOOKUP(M668,'PF Uscite Sp. Corr.'!$C$1:$E$100,2,FALSE)</f>
        <v>Tassa di circolazione dei veicoli a motore (tassa automobilistica)</v>
      </c>
      <c r="O668" s="131">
        <v>2710</v>
      </c>
      <c r="P668" s="614" t="str">
        <f>VLOOKUP(O668,'Centri di Costo'!$A$2:$B$179,2,FALSE)</f>
        <v xml:space="preserve">Bonello - Attività Ordinaria </v>
      </c>
      <c r="Q668" s="622" t="s">
        <v>1844</v>
      </c>
      <c r="R668" s="642" t="s">
        <v>132</v>
      </c>
    </row>
    <row r="669" spans="1:18" ht="28.5" customHeight="1" outlineLevel="2">
      <c r="A669" s="85" t="s">
        <v>308</v>
      </c>
      <c r="B669" s="400" t="s">
        <v>1869</v>
      </c>
      <c r="C669" s="85" t="s">
        <v>384</v>
      </c>
      <c r="D669" s="148" t="s">
        <v>7</v>
      </c>
      <c r="E669" s="87">
        <v>2018</v>
      </c>
      <c r="F669" s="88">
        <v>162</v>
      </c>
      <c r="G669" s="120" t="s">
        <v>404</v>
      </c>
      <c r="H669" s="581" t="s">
        <v>422</v>
      </c>
      <c r="I669" s="601">
        <v>3000</v>
      </c>
      <c r="J669" s="595" t="s">
        <v>35</v>
      </c>
      <c r="K669" s="91">
        <v>1</v>
      </c>
      <c r="L669" s="91">
        <v>2</v>
      </c>
      <c r="M669" s="92">
        <v>29</v>
      </c>
      <c r="N669" s="119" t="str">
        <f>VLOOKUP(M669,'PF Uscite Sp. Corr.'!$C$1:$E$100,2,FALSE)</f>
        <v>Imposte, tasse e proventi assimilati a carico dell'ente n.a.c.</v>
      </c>
      <c r="O669" s="131">
        <v>2710</v>
      </c>
      <c r="P669" s="614" t="str">
        <f>VLOOKUP(O669,'Centri di Costo'!$A$2:$B$179,2,FALSE)</f>
        <v xml:space="preserve">Bonello - Attività Ordinaria </v>
      </c>
      <c r="Q669" s="622" t="s">
        <v>1844</v>
      </c>
      <c r="R669" s="642" t="s">
        <v>129</v>
      </c>
    </row>
    <row r="670" spans="1:18" ht="28.5" customHeight="1" outlineLevel="2">
      <c r="A670" s="85" t="s">
        <v>308</v>
      </c>
      <c r="B670" s="400" t="s">
        <v>1869</v>
      </c>
      <c r="C670" s="85" t="s">
        <v>384</v>
      </c>
      <c r="D670" s="148" t="s">
        <v>7</v>
      </c>
      <c r="E670" s="87">
        <v>2018</v>
      </c>
      <c r="F670" s="88">
        <v>162</v>
      </c>
      <c r="G670" s="120" t="s">
        <v>404</v>
      </c>
      <c r="H670" s="581" t="s">
        <v>431</v>
      </c>
      <c r="I670" s="601">
        <v>15700</v>
      </c>
      <c r="J670" s="595" t="s">
        <v>35</v>
      </c>
      <c r="K670" s="91">
        <v>1</v>
      </c>
      <c r="L670" s="91">
        <v>2</v>
      </c>
      <c r="M670" s="92">
        <v>29</v>
      </c>
      <c r="N670" s="119" t="str">
        <f>VLOOKUP(M670,'PF Uscite Sp. Corr.'!$C$1:$E$100,2,FALSE)</f>
        <v>Imposte, tasse e proventi assimilati a carico dell'ente n.a.c.</v>
      </c>
      <c r="O670" s="131">
        <v>2710</v>
      </c>
      <c r="P670" s="614" t="str">
        <f>VLOOKUP(O670,'Centri di Costo'!$A$2:$B$179,2,FALSE)</f>
        <v xml:space="preserve">Bonello - Attività Ordinaria </v>
      </c>
      <c r="Q670" s="622" t="s">
        <v>1844</v>
      </c>
      <c r="R670" s="642" t="s">
        <v>69</v>
      </c>
    </row>
    <row r="671" spans="1:18" ht="28.5" customHeight="1" outlineLevel="2">
      <c r="A671" s="85" t="s">
        <v>308</v>
      </c>
      <c r="B671" s="400" t="s">
        <v>1869</v>
      </c>
      <c r="C671" s="85" t="s">
        <v>384</v>
      </c>
      <c r="D671" s="148" t="s">
        <v>7</v>
      </c>
      <c r="E671" s="87">
        <v>2018</v>
      </c>
      <c r="F671" s="88">
        <v>162</v>
      </c>
      <c r="G671" s="120" t="s">
        <v>404</v>
      </c>
      <c r="H671" s="581" t="s">
        <v>417</v>
      </c>
      <c r="I671" s="601">
        <v>100</v>
      </c>
      <c r="J671" s="595" t="s">
        <v>35</v>
      </c>
      <c r="K671" s="91">
        <v>1</v>
      </c>
      <c r="L671" s="91">
        <v>3</v>
      </c>
      <c r="M671" s="92">
        <v>32</v>
      </c>
      <c r="N671" s="119" t="str">
        <f>VLOOKUP(M671,'PF Uscite Sp. Corr.'!$C$1:$E$100,2,FALSE)</f>
        <v>Altri beni di consumo</v>
      </c>
      <c r="O671" s="131">
        <v>2710</v>
      </c>
      <c r="P671" s="614" t="str">
        <f>VLOOKUP(O671,'Centri di Costo'!$A$2:$B$179,2,FALSE)</f>
        <v xml:space="preserve">Bonello - Attività Ordinaria </v>
      </c>
      <c r="Q671" s="623" t="s">
        <v>2004</v>
      </c>
      <c r="R671" s="642" t="s">
        <v>72</v>
      </c>
    </row>
    <row r="672" spans="1:18" ht="28.5" customHeight="1" outlineLevel="2">
      <c r="A672" s="85" t="s">
        <v>308</v>
      </c>
      <c r="B672" s="400" t="s">
        <v>1869</v>
      </c>
      <c r="C672" s="85" t="s">
        <v>384</v>
      </c>
      <c r="D672" s="148" t="s">
        <v>7</v>
      </c>
      <c r="E672" s="87">
        <v>2018</v>
      </c>
      <c r="F672" s="88">
        <v>162</v>
      </c>
      <c r="G672" s="120" t="s">
        <v>404</v>
      </c>
      <c r="H672" s="581" t="s">
        <v>423</v>
      </c>
      <c r="I672" s="601">
        <v>1500</v>
      </c>
      <c r="J672" s="595" t="s">
        <v>35</v>
      </c>
      <c r="K672" s="91">
        <v>1</v>
      </c>
      <c r="L672" s="91">
        <v>3</v>
      </c>
      <c r="M672" s="92">
        <v>32</v>
      </c>
      <c r="N672" s="119" t="str">
        <f>VLOOKUP(M672,'PF Uscite Sp. Corr.'!$C$1:$E$100,2,FALSE)</f>
        <v>Altri beni di consumo</v>
      </c>
      <c r="O672" s="131">
        <v>2710</v>
      </c>
      <c r="P672" s="614" t="str">
        <f>VLOOKUP(O672,'Centri di Costo'!$A$2:$B$179,2,FALSE)</f>
        <v xml:space="preserve">Bonello - Attività Ordinaria </v>
      </c>
      <c r="Q672" s="623" t="s">
        <v>2004</v>
      </c>
      <c r="R672" s="642" t="s">
        <v>424</v>
      </c>
    </row>
    <row r="673" spans="1:18" ht="28.5" customHeight="1" outlineLevel="2">
      <c r="A673" s="85" t="s">
        <v>308</v>
      </c>
      <c r="B673" s="400" t="s">
        <v>1869</v>
      </c>
      <c r="C673" s="85" t="s">
        <v>384</v>
      </c>
      <c r="D673" s="148" t="s">
        <v>7</v>
      </c>
      <c r="E673" s="87">
        <v>2018</v>
      </c>
      <c r="F673" s="88">
        <v>162</v>
      </c>
      <c r="G673" s="120" t="s">
        <v>404</v>
      </c>
      <c r="H673" s="581" t="s">
        <v>425</v>
      </c>
      <c r="I673" s="601">
        <v>5000</v>
      </c>
      <c r="J673" s="595" t="s">
        <v>35</v>
      </c>
      <c r="K673" s="91">
        <v>1</v>
      </c>
      <c r="L673" s="91">
        <v>3</v>
      </c>
      <c r="M673" s="92">
        <v>32</v>
      </c>
      <c r="N673" s="119" t="str">
        <f>VLOOKUP(M673,'PF Uscite Sp. Corr.'!$C$1:$E$100,2,FALSE)</f>
        <v>Altri beni di consumo</v>
      </c>
      <c r="O673" s="131">
        <v>2710</v>
      </c>
      <c r="P673" s="614" t="str">
        <f>VLOOKUP(O673,'Centri di Costo'!$A$2:$B$179,2,FALSE)</f>
        <v xml:space="preserve">Bonello - Attività Ordinaria </v>
      </c>
      <c r="Q673" s="623" t="s">
        <v>2004</v>
      </c>
      <c r="R673" s="642" t="s">
        <v>426</v>
      </c>
    </row>
    <row r="674" spans="1:18" ht="28.5" customHeight="1" outlineLevel="2">
      <c r="A674" s="85" t="s">
        <v>308</v>
      </c>
      <c r="B674" s="400" t="s">
        <v>1869</v>
      </c>
      <c r="C674" s="85" t="s">
        <v>384</v>
      </c>
      <c r="D674" s="148" t="s">
        <v>7</v>
      </c>
      <c r="E674" s="87">
        <v>2018</v>
      </c>
      <c r="F674" s="88">
        <v>162</v>
      </c>
      <c r="G674" s="120" t="s">
        <v>404</v>
      </c>
      <c r="H674" s="581" t="s">
        <v>432</v>
      </c>
      <c r="I674" s="601">
        <v>1000</v>
      </c>
      <c r="J674" s="595" t="s">
        <v>35</v>
      </c>
      <c r="K674" s="91">
        <v>1</v>
      </c>
      <c r="L674" s="91">
        <v>3</v>
      </c>
      <c r="M674" s="92">
        <v>32</v>
      </c>
      <c r="N674" s="119" t="str">
        <f>VLOOKUP(M674,'PF Uscite Sp. Corr.'!$C$1:$E$100,2,FALSE)</f>
        <v>Altri beni di consumo</v>
      </c>
      <c r="O674" s="131">
        <v>2710</v>
      </c>
      <c r="P674" s="614" t="str">
        <f>VLOOKUP(O674,'Centri di Costo'!$A$2:$B$179,2,FALSE)</f>
        <v xml:space="preserve">Bonello - Attività Ordinaria </v>
      </c>
      <c r="Q674" s="623" t="s">
        <v>2014</v>
      </c>
      <c r="R674" s="642" t="s">
        <v>107</v>
      </c>
    </row>
    <row r="675" spans="1:18" ht="28.5" customHeight="1" outlineLevel="2">
      <c r="A675" s="85" t="s">
        <v>308</v>
      </c>
      <c r="B675" s="400" t="s">
        <v>1869</v>
      </c>
      <c r="C675" s="85" t="s">
        <v>384</v>
      </c>
      <c r="D675" s="148" t="s">
        <v>7</v>
      </c>
      <c r="E675" s="87">
        <v>2018</v>
      </c>
      <c r="F675" s="88">
        <v>162</v>
      </c>
      <c r="G675" s="120" t="s">
        <v>404</v>
      </c>
      <c r="H675" s="581" t="s">
        <v>433</v>
      </c>
      <c r="I675" s="601">
        <v>1500</v>
      </c>
      <c r="J675" s="595" t="s">
        <v>35</v>
      </c>
      <c r="K675" s="91">
        <v>1</v>
      </c>
      <c r="L675" s="91">
        <v>3</v>
      </c>
      <c r="M675" s="92">
        <v>32</v>
      </c>
      <c r="N675" s="119" t="str">
        <f>VLOOKUP(M675,'PF Uscite Sp. Corr.'!$C$1:$E$100,2,FALSE)</f>
        <v>Altri beni di consumo</v>
      </c>
      <c r="O675" s="131">
        <v>2710</v>
      </c>
      <c r="P675" s="614" t="str">
        <f>VLOOKUP(O675,'Centri di Costo'!$A$2:$B$179,2,FALSE)</f>
        <v xml:space="preserve">Bonello - Attività Ordinaria </v>
      </c>
      <c r="Q675" s="623" t="s">
        <v>2004</v>
      </c>
      <c r="R675" s="642" t="s">
        <v>434</v>
      </c>
    </row>
    <row r="676" spans="1:18" ht="28.5" customHeight="1" outlineLevel="2">
      <c r="A676" s="85" t="s">
        <v>308</v>
      </c>
      <c r="B676" s="400" t="s">
        <v>1869</v>
      </c>
      <c r="C676" s="85" t="s">
        <v>384</v>
      </c>
      <c r="D676" s="148" t="s">
        <v>7</v>
      </c>
      <c r="E676" s="87">
        <v>2018</v>
      </c>
      <c r="F676" s="88">
        <v>162</v>
      </c>
      <c r="G676" s="120" t="s">
        <v>404</v>
      </c>
      <c r="H676" s="581" t="s">
        <v>435</v>
      </c>
      <c r="I676" s="601">
        <v>1000</v>
      </c>
      <c r="J676" s="595" t="s">
        <v>35</v>
      </c>
      <c r="K676" s="91">
        <v>1</v>
      </c>
      <c r="L676" s="91">
        <v>3</v>
      </c>
      <c r="M676" s="92">
        <v>32</v>
      </c>
      <c r="N676" s="119" t="str">
        <f>VLOOKUP(M676,'PF Uscite Sp. Corr.'!$C$1:$E$100,2,FALSE)</f>
        <v>Altri beni di consumo</v>
      </c>
      <c r="O676" s="131">
        <v>2710</v>
      </c>
      <c r="P676" s="614" t="str">
        <f>VLOOKUP(O676,'Centri di Costo'!$A$2:$B$179,2,FALSE)</f>
        <v xml:space="preserve">Bonello - Attività Ordinaria </v>
      </c>
      <c r="Q676" s="623" t="s">
        <v>2004</v>
      </c>
      <c r="R676" s="642" t="s">
        <v>436</v>
      </c>
    </row>
    <row r="677" spans="1:18" ht="28.5" customHeight="1" outlineLevel="2">
      <c r="A677" s="85" t="s">
        <v>308</v>
      </c>
      <c r="B677" s="400" t="s">
        <v>1869</v>
      </c>
      <c r="C677" s="85" t="s">
        <v>384</v>
      </c>
      <c r="D677" s="148" t="s">
        <v>7</v>
      </c>
      <c r="E677" s="87">
        <v>2018</v>
      </c>
      <c r="F677" s="88">
        <v>162</v>
      </c>
      <c r="G677" s="120" t="s">
        <v>404</v>
      </c>
      <c r="H677" s="581" t="s">
        <v>437</v>
      </c>
      <c r="I677" s="601">
        <v>500</v>
      </c>
      <c r="J677" s="595" t="s">
        <v>35</v>
      </c>
      <c r="K677" s="91">
        <v>1</v>
      </c>
      <c r="L677" s="91">
        <v>3</v>
      </c>
      <c r="M677" s="92">
        <v>32</v>
      </c>
      <c r="N677" s="119" t="str">
        <f>VLOOKUP(M677,'PF Uscite Sp. Corr.'!$C$1:$E$100,2,FALSE)</f>
        <v>Altri beni di consumo</v>
      </c>
      <c r="O677" s="131">
        <v>2710</v>
      </c>
      <c r="P677" s="614" t="str">
        <f>VLOOKUP(O677,'Centri di Costo'!$A$2:$B$179,2,FALSE)</f>
        <v xml:space="preserve">Bonello - Attività Ordinaria </v>
      </c>
      <c r="Q677" s="623" t="s">
        <v>2004</v>
      </c>
      <c r="R677" s="642" t="s">
        <v>438</v>
      </c>
    </row>
    <row r="678" spans="1:18" ht="28.5" customHeight="1" outlineLevel="2">
      <c r="A678" s="85" t="s">
        <v>308</v>
      </c>
      <c r="B678" s="400" t="s">
        <v>1869</v>
      </c>
      <c r="C678" s="85" t="s">
        <v>384</v>
      </c>
      <c r="D678" s="148" t="s">
        <v>7</v>
      </c>
      <c r="E678" s="87">
        <v>2018</v>
      </c>
      <c r="F678" s="88">
        <v>162</v>
      </c>
      <c r="G678" s="120" t="s">
        <v>404</v>
      </c>
      <c r="H678" s="581" t="s">
        <v>439</v>
      </c>
      <c r="I678" s="601">
        <v>1500</v>
      </c>
      <c r="J678" s="595" t="s">
        <v>35</v>
      </c>
      <c r="K678" s="91">
        <v>1</v>
      </c>
      <c r="L678" s="91">
        <v>3</v>
      </c>
      <c r="M678" s="92">
        <v>32</v>
      </c>
      <c r="N678" s="119" t="str">
        <f>VLOOKUP(M678,'PF Uscite Sp. Corr.'!$C$1:$E$100,2,FALSE)</f>
        <v>Altri beni di consumo</v>
      </c>
      <c r="O678" s="131">
        <v>2710</v>
      </c>
      <c r="P678" s="614" t="str">
        <f>VLOOKUP(O678,'Centri di Costo'!$A$2:$B$179,2,FALSE)</f>
        <v xml:space="preserve">Bonello - Attività Ordinaria </v>
      </c>
      <c r="Q678" s="623" t="s">
        <v>2004</v>
      </c>
      <c r="R678" s="642" t="s">
        <v>192</v>
      </c>
    </row>
    <row r="679" spans="1:18" ht="28.5" customHeight="1" outlineLevel="2">
      <c r="A679" s="85" t="s">
        <v>308</v>
      </c>
      <c r="B679" s="400" t="s">
        <v>1869</v>
      </c>
      <c r="C679" s="85" t="s">
        <v>384</v>
      </c>
      <c r="D679" s="148" t="s">
        <v>7</v>
      </c>
      <c r="E679" s="87">
        <v>2018</v>
      </c>
      <c r="F679" s="88">
        <v>162</v>
      </c>
      <c r="G679" s="120" t="s">
        <v>404</v>
      </c>
      <c r="H679" s="581" t="s">
        <v>418</v>
      </c>
      <c r="I679" s="601">
        <v>4000</v>
      </c>
      <c r="J679" s="595" t="s">
        <v>35</v>
      </c>
      <c r="K679" s="91">
        <v>1</v>
      </c>
      <c r="L679" s="91">
        <v>3</v>
      </c>
      <c r="M679" s="92">
        <v>33</v>
      </c>
      <c r="N679" s="119" t="str">
        <f>VLOOKUP(M679,'PF Uscite Sp. Corr.'!$C$1:$E$100,2,FALSE)</f>
        <v>Flora e Fauna</v>
      </c>
      <c r="O679" s="131">
        <v>2710</v>
      </c>
      <c r="P679" s="614" t="str">
        <f>VLOOKUP(O679,'Centri di Costo'!$A$2:$B$179,2,FALSE)</f>
        <v xml:space="preserve">Bonello - Attività Ordinaria </v>
      </c>
      <c r="Q679" s="623" t="s">
        <v>2004</v>
      </c>
      <c r="R679" s="642" t="s">
        <v>419</v>
      </c>
    </row>
    <row r="680" spans="1:18" ht="28.5" customHeight="1" outlineLevel="2">
      <c r="A680" s="85" t="s">
        <v>308</v>
      </c>
      <c r="B680" s="400" t="s">
        <v>1869</v>
      </c>
      <c r="C680" s="85" t="s">
        <v>384</v>
      </c>
      <c r="D680" s="148" t="s">
        <v>7</v>
      </c>
      <c r="E680" s="87">
        <v>2018</v>
      </c>
      <c r="F680" s="88">
        <v>162</v>
      </c>
      <c r="G680" s="120" t="s">
        <v>404</v>
      </c>
      <c r="H680" s="581" t="s">
        <v>405</v>
      </c>
      <c r="I680" s="601">
        <v>1100</v>
      </c>
      <c r="J680" s="595" t="s">
        <v>35</v>
      </c>
      <c r="K680" s="91">
        <v>1</v>
      </c>
      <c r="L680" s="91">
        <v>3</v>
      </c>
      <c r="M680" s="92">
        <v>45</v>
      </c>
      <c r="N680" s="119" t="str">
        <f>VLOOKUP(M680,'PF Uscite Sp. Corr.'!$C$1:$E$100,2,FALSE)</f>
        <v>Utenze e canoni</v>
      </c>
      <c r="O680" s="131">
        <v>2710</v>
      </c>
      <c r="P680" s="614" t="str">
        <f>VLOOKUP(O680,'Centri di Costo'!$A$2:$B$179,2,FALSE)</f>
        <v xml:space="preserve">Bonello - Attività Ordinaria </v>
      </c>
      <c r="Q680" s="624" t="s">
        <v>2014</v>
      </c>
      <c r="R680" s="642" t="s">
        <v>65</v>
      </c>
    </row>
    <row r="681" spans="1:18" ht="28.5" customHeight="1" outlineLevel="2">
      <c r="A681" s="85" t="s">
        <v>308</v>
      </c>
      <c r="B681" s="400" t="s">
        <v>1869</v>
      </c>
      <c r="C681" s="85" t="s">
        <v>384</v>
      </c>
      <c r="D681" s="148" t="s">
        <v>7</v>
      </c>
      <c r="E681" s="87">
        <v>2018</v>
      </c>
      <c r="F681" s="88">
        <v>162</v>
      </c>
      <c r="G681" s="120" t="s">
        <v>404</v>
      </c>
      <c r="H681" s="581" t="s">
        <v>57</v>
      </c>
      <c r="I681" s="601">
        <v>8500</v>
      </c>
      <c r="J681" s="595" t="s">
        <v>35</v>
      </c>
      <c r="K681" s="91">
        <v>1</v>
      </c>
      <c r="L681" s="91">
        <v>3</v>
      </c>
      <c r="M681" s="92">
        <v>45</v>
      </c>
      <c r="N681" s="119" t="str">
        <f>VLOOKUP(M681,'PF Uscite Sp. Corr.'!$C$1:$E$100,2,FALSE)</f>
        <v>Utenze e canoni</v>
      </c>
      <c r="O681" s="131">
        <v>2710</v>
      </c>
      <c r="P681" s="614" t="str">
        <f>VLOOKUP(O681,'Centri di Costo'!$A$2:$B$179,2,FALSE)</f>
        <v xml:space="preserve">Bonello - Attività Ordinaria </v>
      </c>
      <c r="Q681" s="624" t="s">
        <v>2014</v>
      </c>
      <c r="R681" s="642" t="s">
        <v>58</v>
      </c>
    </row>
    <row r="682" spans="1:18" ht="28.5" customHeight="1" outlineLevel="2">
      <c r="A682" s="85" t="s">
        <v>308</v>
      </c>
      <c r="B682" s="400" t="s">
        <v>1869</v>
      </c>
      <c r="C682" s="85" t="s">
        <v>384</v>
      </c>
      <c r="D682" s="148" t="s">
        <v>7</v>
      </c>
      <c r="E682" s="87">
        <v>2018</v>
      </c>
      <c r="F682" s="88">
        <v>162</v>
      </c>
      <c r="G682" s="120" t="s">
        <v>404</v>
      </c>
      <c r="H682" s="581" t="s">
        <v>66</v>
      </c>
      <c r="I682" s="601">
        <v>700</v>
      </c>
      <c r="J682" s="595" t="s">
        <v>35</v>
      </c>
      <c r="K682" s="91">
        <v>1</v>
      </c>
      <c r="L682" s="91">
        <v>3</v>
      </c>
      <c r="M682" s="92">
        <v>45</v>
      </c>
      <c r="N682" s="119" t="str">
        <f>VLOOKUP(M682,'PF Uscite Sp. Corr.'!$C$1:$E$100,2,FALSE)</f>
        <v>Utenze e canoni</v>
      </c>
      <c r="O682" s="131">
        <v>2710</v>
      </c>
      <c r="P682" s="614" t="str">
        <f>VLOOKUP(O682,'Centri di Costo'!$A$2:$B$179,2,FALSE)</f>
        <v xml:space="preserve">Bonello - Attività Ordinaria </v>
      </c>
      <c r="Q682" s="623" t="s">
        <v>2004</v>
      </c>
      <c r="R682" s="642" t="s">
        <v>67</v>
      </c>
    </row>
    <row r="683" spans="1:18" ht="28.5" customHeight="1" outlineLevel="2">
      <c r="A683" s="85" t="s">
        <v>308</v>
      </c>
      <c r="B683" s="400" t="s">
        <v>1869</v>
      </c>
      <c r="C683" s="85" t="s">
        <v>384</v>
      </c>
      <c r="D683" s="148" t="s">
        <v>7</v>
      </c>
      <c r="E683" s="87">
        <v>2018</v>
      </c>
      <c r="F683" s="88">
        <v>162</v>
      </c>
      <c r="G683" s="120" t="s">
        <v>404</v>
      </c>
      <c r="H683" s="581" t="s">
        <v>406</v>
      </c>
      <c r="I683" s="601">
        <v>600</v>
      </c>
      <c r="J683" s="595" t="s">
        <v>35</v>
      </c>
      <c r="K683" s="91">
        <v>1</v>
      </c>
      <c r="L683" s="91">
        <v>3</v>
      </c>
      <c r="M683" s="92">
        <v>47</v>
      </c>
      <c r="N683" s="119" t="str">
        <f>VLOOKUP(M683,'PF Uscite Sp. Corr.'!$C$1:$E$100,2,FALSE)</f>
        <v>Utilizzo di beni di terzi</v>
      </c>
      <c r="O683" s="131">
        <v>2710</v>
      </c>
      <c r="P683" s="614" t="str">
        <f>VLOOKUP(O683,'Centri di Costo'!$A$2:$B$179,2,FALSE)</f>
        <v xml:space="preserve">Bonello - Attività Ordinaria </v>
      </c>
      <c r="Q683" s="623" t="s">
        <v>2004</v>
      </c>
      <c r="R683" s="642" t="s">
        <v>127</v>
      </c>
    </row>
    <row r="684" spans="1:18" ht="28.5" customHeight="1" outlineLevel="2">
      <c r="A684" s="85" t="s">
        <v>308</v>
      </c>
      <c r="B684" s="400" t="s">
        <v>1869</v>
      </c>
      <c r="C684" s="85" t="s">
        <v>384</v>
      </c>
      <c r="D684" s="148" t="s">
        <v>7</v>
      </c>
      <c r="E684" s="87">
        <v>2018</v>
      </c>
      <c r="F684" s="88">
        <v>162</v>
      </c>
      <c r="G684" s="120" t="s">
        <v>404</v>
      </c>
      <c r="H684" s="581" t="s">
        <v>407</v>
      </c>
      <c r="I684" s="601">
        <v>900</v>
      </c>
      <c r="J684" s="595" t="s">
        <v>35</v>
      </c>
      <c r="K684" s="91">
        <v>1</v>
      </c>
      <c r="L684" s="91">
        <v>3</v>
      </c>
      <c r="M684" s="92">
        <v>49</v>
      </c>
      <c r="N684" s="119" t="str">
        <f>VLOOKUP(M684,'PF Uscite Sp. Corr.'!$C$1:$E$100,2,FALSE)</f>
        <v>Manutenzione ordinaria e riparazioni</v>
      </c>
      <c r="O684" s="131">
        <v>2710</v>
      </c>
      <c r="P684" s="614" t="str">
        <f>VLOOKUP(O684,'Centri di Costo'!$A$2:$B$179,2,FALSE)</f>
        <v xml:space="preserve">Bonello - Attività Ordinaria </v>
      </c>
      <c r="Q684" s="623" t="s">
        <v>2004</v>
      </c>
      <c r="R684" s="642" t="s">
        <v>103</v>
      </c>
    </row>
    <row r="685" spans="1:18" ht="28.5" customHeight="1" outlineLevel="2">
      <c r="A685" s="85" t="s">
        <v>308</v>
      </c>
      <c r="B685" s="400" t="s">
        <v>1869</v>
      </c>
      <c r="C685" s="85" t="s">
        <v>384</v>
      </c>
      <c r="D685" s="148" t="s">
        <v>7</v>
      </c>
      <c r="E685" s="87">
        <v>2018</v>
      </c>
      <c r="F685" s="88">
        <v>162</v>
      </c>
      <c r="G685" s="120" t="s">
        <v>404</v>
      </c>
      <c r="H685" s="581" t="s">
        <v>408</v>
      </c>
      <c r="I685" s="601">
        <v>400</v>
      </c>
      <c r="J685" s="595" t="s">
        <v>35</v>
      </c>
      <c r="K685" s="91">
        <v>1</v>
      </c>
      <c r="L685" s="91">
        <v>3</v>
      </c>
      <c r="M685" s="92">
        <v>49</v>
      </c>
      <c r="N685" s="119" t="str">
        <f>VLOOKUP(M685,'PF Uscite Sp. Corr.'!$C$1:$E$100,2,FALSE)</f>
        <v>Manutenzione ordinaria e riparazioni</v>
      </c>
      <c r="O685" s="131">
        <v>2710</v>
      </c>
      <c r="P685" s="614" t="str">
        <f>VLOOKUP(O685,'Centri di Costo'!$A$2:$B$179,2,FALSE)</f>
        <v xml:space="preserve">Bonello - Attività Ordinaria </v>
      </c>
      <c r="Q685" s="623" t="s">
        <v>2004</v>
      </c>
      <c r="R685" s="642" t="s">
        <v>409</v>
      </c>
    </row>
    <row r="686" spans="1:18" ht="28.5" customHeight="1" outlineLevel="2">
      <c r="A686" s="85" t="s">
        <v>308</v>
      </c>
      <c r="B686" s="400" t="s">
        <v>1869</v>
      </c>
      <c r="C686" s="85" t="s">
        <v>384</v>
      </c>
      <c r="D686" s="148" t="s">
        <v>7</v>
      </c>
      <c r="E686" s="87">
        <v>2018</v>
      </c>
      <c r="F686" s="88">
        <v>162</v>
      </c>
      <c r="G686" s="120" t="s">
        <v>404</v>
      </c>
      <c r="H686" s="581" t="s">
        <v>410</v>
      </c>
      <c r="I686" s="601">
        <v>500</v>
      </c>
      <c r="J686" s="595" t="s">
        <v>35</v>
      </c>
      <c r="K686" s="91">
        <v>1</v>
      </c>
      <c r="L686" s="91">
        <v>3</v>
      </c>
      <c r="M686" s="92">
        <v>49</v>
      </c>
      <c r="N686" s="119" t="str">
        <f>VLOOKUP(M686,'PF Uscite Sp. Corr.'!$C$1:$E$100,2,FALSE)</f>
        <v>Manutenzione ordinaria e riparazioni</v>
      </c>
      <c r="O686" s="131">
        <v>2710</v>
      </c>
      <c r="P686" s="614" t="str">
        <f>VLOOKUP(O686,'Centri di Costo'!$A$2:$B$179,2,FALSE)</f>
        <v xml:space="preserve">Bonello - Attività Ordinaria </v>
      </c>
      <c r="Q686" s="623" t="s">
        <v>2004</v>
      </c>
      <c r="R686" s="642" t="s">
        <v>93</v>
      </c>
    </row>
    <row r="687" spans="1:18" ht="28.5" customHeight="1" outlineLevel="2">
      <c r="A687" s="85" t="s">
        <v>308</v>
      </c>
      <c r="B687" s="400" t="s">
        <v>1869</v>
      </c>
      <c r="C687" s="85" t="s">
        <v>384</v>
      </c>
      <c r="D687" s="148" t="s">
        <v>7</v>
      </c>
      <c r="E687" s="87">
        <v>2018</v>
      </c>
      <c r="F687" s="88">
        <v>162</v>
      </c>
      <c r="G687" s="120" t="s">
        <v>404</v>
      </c>
      <c r="H687" s="581" t="s">
        <v>411</v>
      </c>
      <c r="I687" s="601">
        <v>200</v>
      </c>
      <c r="J687" s="595" t="s">
        <v>35</v>
      </c>
      <c r="K687" s="91">
        <v>1</v>
      </c>
      <c r="L687" s="91">
        <v>3</v>
      </c>
      <c r="M687" s="92">
        <v>49</v>
      </c>
      <c r="N687" s="119" t="str">
        <f>VLOOKUP(M687,'PF Uscite Sp. Corr.'!$C$1:$E$100,2,FALSE)</f>
        <v>Manutenzione ordinaria e riparazioni</v>
      </c>
      <c r="O687" s="131">
        <v>2710</v>
      </c>
      <c r="P687" s="614" t="str">
        <f>VLOOKUP(O687,'Centri di Costo'!$A$2:$B$179,2,FALSE)</f>
        <v xml:space="preserve">Bonello - Attività Ordinaria </v>
      </c>
      <c r="Q687" s="623" t="s">
        <v>2004</v>
      </c>
      <c r="R687" s="642" t="s">
        <v>412</v>
      </c>
    </row>
    <row r="688" spans="1:18" ht="28.5" customHeight="1" outlineLevel="2">
      <c r="A688" s="85" t="s">
        <v>308</v>
      </c>
      <c r="B688" s="400" t="s">
        <v>1869</v>
      </c>
      <c r="C688" s="85" t="s">
        <v>384</v>
      </c>
      <c r="D688" s="148" t="s">
        <v>7</v>
      </c>
      <c r="E688" s="87">
        <v>2018</v>
      </c>
      <c r="F688" s="88">
        <v>162</v>
      </c>
      <c r="G688" s="120" t="s">
        <v>404</v>
      </c>
      <c r="H688" s="581" t="s">
        <v>413</v>
      </c>
      <c r="I688" s="601">
        <v>600</v>
      </c>
      <c r="J688" s="595" t="s">
        <v>35</v>
      </c>
      <c r="K688" s="91">
        <v>1</v>
      </c>
      <c r="L688" s="91">
        <v>3</v>
      </c>
      <c r="M688" s="92">
        <v>51</v>
      </c>
      <c r="N688" s="119" t="str">
        <f>VLOOKUP(M688,'PF Uscite Sp. Corr.'!$C$1:$E$100,2,FALSE)</f>
        <v>Prestazioni professionali e specialistiche</v>
      </c>
      <c r="O688" s="131">
        <v>2710</v>
      </c>
      <c r="P688" s="614" t="str">
        <f>VLOOKUP(O688,'Centri di Costo'!$A$2:$B$179,2,FALSE)</f>
        <v xml:space="preserve">Bonello - Attività Ordinaria </v>
      </c>
      <c r="Q688" s="619" t="s">
        <v>2029</v>
      </c>
      <c r="R688" s="642" t="s">
        <v>414</v>
      </c>
    </row>
    <row r="689" spans="1:18" ht="28.5" customHeight="1" outlineLevel="2">
      <c r="A689" s="85" t="s">
        <v>308</v>
      </c>
      <c r="B689" s="400" t="s">
        <v>1869</v>
      </c>
      <c r="C689" s="85" t="s">
        <v>384</v>
      </c>
      <c r="D689" s="148" t="s">
        <v>7</v>
      </c>
      <c r="E689" s="87">
        <v>2018</v>
      </c>
      <c r="F689" s="88">
        <v>162</v>
      </c>
      <c r="G689" s="120" t="s">
        <v>404</v>
      </c>
      <c r="H689" s="581" t="s">
        <v>420</v>
      </c>
      <c r="I689" s="601">
        <v>540</v>
      </c>
      <c r="J689" s="595" t="s">
        <v>35</v>
      </c>
      <c r="K689" s="91">
        <v>1</v>
      </c>
      <c r="L689" s="91">
        <v>3</v>
      </c>
      <c r="M689" s="92">
        <v>53</v>
      </c>
      <c r="N689" s="119" t="str">
        <f>VLOOKUP(M689,'PF Uscite Sp. Corr.'!$C$1:$E$100,2,FALSE)</f>
        <v>Servizi ausiliari per il funzionamento dell'ente</v>
      </c>
      <c r="O689" s="131">
        <v>2710</v>
      </c>
      <c r="P689" s="614" t="str">
        <f>VLOOKUP(O689,'Centri di Costo'!$A$2:$B$179,2,FALSE)</f>
        <v xml:space="preserve">Bonello - Attività Ordinaria </v>
      </c>
      <c r="Q689" s="623" t="s">
        <v>2004</v>
      </c>
      <c r="R689" s="642" t="s">
        <v>421</v>
      </c>
    </row>
    <row r="690" spans="1:18" ht="28.5" customHeight="1" outlineLevel="2">
      <c r="A690" s="85" t="s">
        <v>308</v>
      </c>
      <c r="B690" s="400" t="s">
        <v>1869</v>
      </c>
      <c r="C690" s="85" t="s">
        <v>384</v>
      </c>
      <c r="D690" s="148" t="s">
        <v>7</v>
      </c>
      <c r="E690" s="87">
        <v>2018</v>
      </c>
      <c r="F690" s="88">
        <v>162</v>
      </c>
      <c r="G690" s="120" t="s">
        <v>404</v>
      </c>
      <c r="H690" s="581" t="s">
        <v>172</v>
      </c>
      <c r="I690" s="601">
        <v>50</v>
      </c>
      <c r="J690" s="595" t="s">
        <v>35</v>
      </c>
      <c r="K690" s="91">
        <v>1</v>
      </c>
      <c r="L690" s="91">
        <v>3</v>
      </c>
      <c r="M690" s="92">
        <v>56</v>
      </c>
      <c r="N690" s="119" t="str">
        <f>VLOOKUP(M690,'PF Uscite Sp. Corr.'!$C$1:$E$100,2,FALSE)</f>
        <v>Servizi amministrativi</v>
      </c>
      <c r="O690" s="131">
        <v>2710</v>
      </c>
      <c r="P690" s="614" t="str">
        <f>VLOOKUP(O690,'Centri di Costo'!$A$2:$B$179,2,FALSE)</f>
        <v xml:space="preserve">Bonello - Attività Ordinaria </v>
      </c>
      <c r="Q690" s="623" t="s">
        <v>2004</v>
      </c>
      <c r="R690" s="642" t="s">
        <v>173</v>
      </c>
    </row>
    <row r="691" spans="1:18" ht="28.5" customHeight="1" outlineLevel="2">
      <c r="A691" s="85" t="s">
        <v>308</v>
      </c>
      <c r="B691" s="400" t="s">
        <v>1869</v>
      </c>
      <c r="C691" s="85" t="s">
        <v>384</v>
      </c>
      <c r="D691" s="148" t="s">
        <v>7</v>
      </c>
      <c r="E691" s="87">
        <v>2018</v>
      </c>
      <c r="F691" s="88">
        <v>162</v>
      </c>
      <c r="G691" s="120" t="s">
        <v>404</v>
      </c>
      <c r="H691" s="581" t="s">
        <v>415</v>
      </c>
      <c r="I691" s="601">
        <v>2580</v>
      </c>
      <c r="J691" s="595" t="s">
        <v>35</v>
      </c>
      <c r="K691" s="91">
        <v>1</v>
      </c>
      <c r="L691" s="91">
        <v>10</v>
      </c>
      <c r="M691" s="92">
        <v>86</v>
      </c>
      <c r="N691" s="119" t="str">
        <f>VLOOKUP(M691,'PF Uscite Sp. Corr.'!$C$1:$E$100,2,FALSE)</f>
        <v>Premi di assicurazione contro i danni</v>
      </c>
      <c r="O691" s="131">
        <v>2710</v>
      </c>
      <c r="P691" s="614" t="str">
        <f>VLOOKUP(O691,'Centri di Costo'!$A$2:$B$179,2,FALSE)</f>
        <v xml:space="preserve">Bonello - Attività Ordinaria </v>
      </c>
      <c r="Q691" s="624" t="s">
        <v>2014</v>
      </c>
      <c r="R691" s="642" t="s">
        <v>59</v>
      </c>
    </row>
    <row r="692" spans="1:18" s="139" customFormat="1" ht="28.5" customHeight="1" outlineLevel="2">
      <c r="A692" s="115" t="s">
        <v>308</v>
      </c>
      <c r="B692" s="401" t="s">
        <v>1869</v>
      </c>
      <c r="C692" s="115" t="s">
        <v>384</v>
      </c>
      <c r="D692" s="417" t="s">
        <v>7</v>
      </c>
      <c r="E692" s="412">
        <v>2018</v>
      </c>
      <c r="F692" s="413">
        <v>162</v>
      </c>
      <c r="G692" s="123" t="s">
        <v>404</v>
      </c>
      <c r="H692" s="583" t="s">
        <v>416</v>
      </c>
      <c r="I692" s="603">
        <v>230</v>
      </c>
      <c r="J692" s="596" t="s">
        <v>35</v>
      </c>
      <c r="K692" s="216">
        <v>1</v>
      </c>
      <c r="L692" s="216">
        <v>10</v>
      </c>
      <c r="M692" s="418">
        <v>86</v>
      </c>
      <c r="N692" s="118" t="str">
        <f>VLOOKUP(M692,'PF Uscite Sp. Corr.'!$C$1:$E$100,2,FALSE)</f>
        <v>Premi di assicurazione contro i danni</v>
      </c>
      <c r="O692" s="419">
        <v>2710</v>
      </c>
      <c r="P692" s="615" t="str">
        <f>VLOOKUP(O692,'Centri di Costo'!$A$2:$B$179,2,FALSE)</f>
        <v xml:space="preserve">Bonello - Attività Ordinaria </v>
      </c>
      <c r="Q692" s="624" t="s">
        <v>2014</v>
      </c>
      <c r="R692" s="648" t="s">
        <v>56</v>
      </c>
    </row>
    <row r="693" spans="1:18" s="215" customFormat="1" ht="20.25" customHeight="1" outlineLevel="1" collapsed="1">
      <c r="A693" s="160"/>
      <c r="B693" s="433" t="s">
        <v>1907</v>
      </c>
      <c r="C693" s="161"/>
      <c r="D693" s="437"/>
      <c r="E693" s="438"/>
      <c r="F693" s="438"/>
      <c r="G693" s="441" t="s">
        <v>1938</v>
      </c>
      <c r="H693" s="214" t="s">
        <v>1956</v>
      </c>
      <c r="I693" s="605">
        <f>SUBTOTAL(9,I664:I692)</f>
        <v>131600</v>
      </c>
      <c r="J693" s="212"/>
      <c r="K693" s="179"/>
      <c r="L693" s="179"/>
      <c r="M693" s="213"/>
      <c r="N693" s="434"/>
      <c r="O693" s="439"/>
      <c r="P693" s="435"/>
      <c r="Q693" s="620"/>
      <c r="R693" s="645"/>
    </row>
    <row r="694" spans="1:18" ht="28.5" customHeight="1" outlineLevel="2">
      <c r="A694" s="94" t="s">
        <v>308</v>
      </c>
      <c r="B694" s="402" t="s">
        <v>1870</v>
      </c>
      <c r="C694" s="94" t="s">
        <v>384</v>
      </c>
      <c r="D694" s="149" t="s">
        <v>7</v>
      </c>
      <c r="E694" s="101">
        <v>2018</v>
      </c>
      <c r="F694" s="102">
        <v>161</v>
      </c>
      <c r="G694" s="121" t="s">
        <v>441</v>
      </c>
      <c r="H694" s="580" t="s">
        <v>362</v>
      </c>
      <c r="I694" s="600">
        <v>100</v>
      </c>
      <c r="J694" s="594" t="s">
        <v>35</v>
      </c>
      <c r="K694" s="99">
        <v>1</v>
      </c>
      <c r="L694" s="99">
        <v>2</v>
      </c>
      <c r="M694" s="113">
        <v>12</v>
      </c>
      <c r="N694" s="128" t="str">
        <f>VLOOKUP(M694,'PF Uscite Sp. Corr.'!$C$1:$E$100,2,FALSE)</f>
        <v>Imposta di registro e di bollo</v>
      </c>
      <c r="O694" s="132">
        <v>2720</v>
      </c>
      <c r="P694" s="613" t="str">
        <f>VLOOKUP(O694,'Centri di Costo'!$A$2:$B$179,2,FALSE)</f>
        <v xml:space="preserve">Pellestrina - Attività Ordinaria </v>
      </c>
      <c r="Q694" s="622" t="s">
        <v>1844</v>
      </c>
      <c r="R694" s="639" t="s">
        <v>47</v>
      </c>
    </row>
    <row r="695" spans="1:18" ht="28.5" customHeight="1" outlineLevel="2">
      <c r="A695" s="85" t="s">
        <v>308</v>
      </c>
      <c r="B695" s="402" t="s">
        <v>1870</v>
      </c>
      <c r="C695" s="85" t="s">
        <v>384</v>
      </c>
      <c r="D695" s="148" t="s">
        <v>7</v>
      </c>
      <c r="E695" s="87">
        <v>2018</v>
      </c>
      <c r="F695" s="88">
        <v>161</v>
      </c>
      <c r="G695" s="120" t="s">
        <v>441</v>
      </c>
      <c r="H695" s="581" t="s">
        <v>1574</v>
      </c>
      <c r="I695" s="601">
        <v>3400</v>
      </c>
      <c r="J695" s="595" t="s">
        <v>35</v>
      </c>
      <c r="K695" s="91">
        <v>1</v>
      </c>
      <c r="L695" s="91">
        <v>2</v>
      </c>
      <c r="M695" s="92">
        <v>29</v>
      </c>
      <c r="N695" s="119" t="str">
        <f>VLOOKUP(M695,'PF Uscite Sp. Corr.'!$C$1:$E$100,2,FALSE)</f>
        <v>Imposte, tasse e proventi assimilati a carico dell'ente n.a.c.</v>
      </c>
      <c r="O695" s="131">
        <v>2720</v>
      </c>
      <c r="P695" s="614" t="str">
        <f>VLOOKUP(O695,'Centri di Costo'!$A$2:$B$179,2,FALSE)</f>
        <v xml:space="preserve">Pellestrina - Attività Ordinaria </v>
      </c>
      <c r="Q695" s="622" t="s">
        <v>1844</v>
      </c>
      <c r="R695" s="642" t="s">
        <v>69</v>
      </c>
    </row>
    <row r="696" spans="1:18" ht="28.5" customHeight="1" outlineLevel="2">
      <c r="A696" s="85" t="s">
        <v>308</v>
      </c>
      <c r="B696" s="402" t="s">
        <v>1870</v>
      </c>
      <c r="C696" s="85" t="s">
        <v>384</v>
      </c>
      <c r="D696" s="148" t="s">
        <v>7</v>
      </c>
      <c r="E696" s="87">
        <v>2018</v>
      </c>
      <c r="F696" s="88">
        <v>161</v>
      </c>
      <c r="G696" s="120" t="s">
        <v>441</v>
      </c>
      <c r="H696" s="581" t="s">
        <v>442</v>
      </c>
      <c r="I696" s="601">
        <v>1120</v>
      </c>
      <c r="J696" s="595" t="s">
        <v>35</v>
      </c>
      <c r="K696" s="91">
        <v>1</v>
      </c>
      <c r="L696" s="91">
        <v>3</v>
      </c>
      <c r="M696" s="92">
        <v>32</v>
      </c>
      <c r="N696" s="119" t="str">
        <f>VLOOKUP(M696,'PF Uscite Sp. Corr.'!$C$1:$E$100,2,FALSE)</f>
        <v>Altri beni di consumo</v>
      </c>
      <c r="O696" s="131">
        <v>2720</v>
      </c>
      <c r="P696" s="614" t="str">
        <f>VLOOKUP(O696,'Centri di Costo'!$A$2:$B$179,2,FALSE)</f>
        <v xml:space="preserve">Pellestrina - Attività Ordinaria </v>
      </c>
      <c r="Q696" s="623" t="s">
        <v>2004</v>
      </c>
      <c r="R696" s="642" t="s">
        <v>424</v>
      </c>
    </row>
    <row r="697" spans="1:18" ht="28.5" customHeight="1" outlineLevel="2">
      <c r="A697" s="85" t="s">
        <v>308</v>
      </c>
      <c r="B697" s="402" t="s">
        <v>1870</v>
      </c>
      <c r="C697" s="85" t="s">
        <v>384</v>
      </c>
      <c r="D697" s="148" t="s">
        <v>7</v>
      </c>
      <c r="E697" s="87">
        <v>2018</v>
      </c>
      <c r="F697" s="88">
        <v>161</v>
      </c>
      <c r="G697" s="120" t="s">
        <v>441</v>
      </c>
      <c r="H697" s="581" t="s">
        <v>76</v>
      </c>
      <c r="I697" s="601">
        <v>700</v>
      </c>
      <c r="J697" s="595" t="s">
        <v>35</v>
      </c>
      <c r="K697" s="91">
        <v>1</v>
      </c>
      <c r="L697" s="91">
        <v>3</v>
      </c>
      <c r="M697" s="92">
        <v>45</v>
      </c>
      <c r="N697" s="119" t="str">
        <f>VLOOKUP(M697,'PF Uscite Sp. Corr.'!$C$1:$E$100,2,FALSE)</f>
        <v>Utenze e canoni</v>
      </c>
      <c r="O697" s="131">
        <v>2720</v>
      </c>
      <c r="P697" s="614" t="str">
        <f>VLOOKUP(O697,'Centri di Costo'!$A$2:$B$179,2,FALSE)</f>
        <v xml:space="preserve">Pellestrina - Attività Ordinaria </v>
      </c>
      <c r="Q697" s="624" t="s">
        <v>2014</v>
      </c>
      <c r="R697" s="642" t="s">
        <v>65</v>
      </c>
    </row>
    <row r="698" spans="1:18" ht="28.5" customHeight="1" outlineLevel="2">
      <c r="A698" s="85" t="s">
        <v>308</v>
      </c>
      <c r="B698" s="402" t="s">
        <v>1870</v>
      </c>
      <c r="C698" s="85" t="s">
        <v>384</v>
      </c>
      <c r="D698" s="148" t="s">
        <v>7</v>
      </c>
      <c r="E698" s="87">
        <v>2018</v>
      </c>
      <c r="F698" s="88">
        <v>161</v>
      </c>
      <c r="G698" s="120" t="s">
        <v>441</v>
      </c>
      <c r="H698" s="581" t="s">
        <v>57</v>
      </c>
      <c r="I698" s="601">
        <v>600</v>
      </c>
      <c r="J698" s="595" t="s">
        <v>35</v>
      </c>
      <c r="K698" s="91">
        <v>1</v>
      </c>
      <c r="L698" s="91">
        <v>3</v>
      </c>
      <c r="M698" s="92">
        <v>45</v>
      </c>
      <c r="N698" s="119" t="str">
        <f>VLOOKUP(M698,'PF Uscite Sp. Corr.'!$C$1:$E$100,2,FALSE)</f>
        <v>Utenze e canoni</v>
      </c>
      <c r="O698" s="131">
        <v>2720</v>
      </c>
      <c r="P698" s="614" t="str">
        <f>VLOOKUP(O698,'Centri di Costo'!$A$2:$B$179,2,FALSE)</f>
        <v xml:space="preserve">Pellestrina - Attività Ordinaria </v>
      </c>
      <c r="Q698" s="624" t="s">
        <v>2014</v>
      </c>
      <c r="R698" s="642" t="s">
        <v>58</v>
      </c>
    </row>
    <row r="699" spans="1:18" ht="28.5" customHeight="1" outlineLevel="2">
      <c r="A699" s="85" t="s">
        <v>308</v>
      </c>
      <c r="B699" s="402" t="s">
        <v>1870</v>
      </c>
      <c r="C699" s="85" t="s">
        <v>384</v>
      </c>
      <c r="D699" s="148" t="s">
        <v>7</v>
      </c>
      <c r="E699" s="87">
        <v>2018</v>
      </c>
      <c r="F699" s="88">
        <v>161</v>
      </c>
      <c r="G699" s="120" t="s">
        <v>441</v>
      </c>
      <c r="H699" s="581" t="s">
        <v>444</v>
      </c>
      <c r="I699" s="601">
        <v>600</v>
      </c>
      <c r="J699" s="595" t="s">
        <v>35</v>
      </c>
      <c r="K699" s="91">
        <v>1</v>
      </c>
      <c r="L699" s="91">
        <v>3</v>
      </c>
      <c r="M699" s="92">
        <v>49</v>
      </c>
      <c r="N699" s="119" t="str">
        <f>VLOOKUP(M699,'PF Uscite Sp. Corr.'!$C$1:$E$100,2,FALSE)</f>
        <v>Manutenzione ordinaria e riparazioni</v>
      </c>
      <c r="O699" s="131">
        <v>2720</v>
      </c>
      <c r="P699" s="614" t="str">
        <f>VLOOKUP(O699,'Centri di Costo'!$A$2:$B$179,2,FALSE)</f>
        <v xml:space="preserve">Pellestrina - Attività Ordinaria </v>
      </c>
      <c r="Q699" s="623" t="s">
        <v>2004</v>
      </c>
      <c r="R699" s="642" t="s">
        <v>99</v>
      </c>
    </row>
    <row r="700" spans="1:18" ht="28.5" customHeight="1" outlineLevel="2">
      <c r="A700" s="85" t="s">
        <v>308</v>
      </c>
      <c r="B700" s="402" t="s">
        <v>1870</v>
      </c>
      <c r="C700" s="85" t="s">
        <v>384</v>
      </c>
      <c r="D700" s="148" t="s">
        <v>7</v>
      </c>
      <c r="E700" s="87">
        <v>2018</v>
      </c>
      <c r="F700" s="88">
        <v>161</v>
      </c>
      <c r="G700" s="120" t="s">
        <v>441</v>
      </c>
      <c r="H700" s="581" t="s">
        <v>445</v>
      </c>
      <c r="I700" s="601">
        <v>500</v>
      </c>
      <c r="J700" s="595" t="s">
        <v>35</v>
      </c>
      <c r="K700" s="91">
        <v>1</v>
      </c>
      <c r="L700" s="91">
        <v>3</v>
      </c>
      <c r="M700" s="92">
        <v>53</v>
      </c>
      <c r="N700" s="119" t="str">
        <f>VLOOKUP(M700,'PF Uscite Sp. Corr.'!$C$1:$E$100,2,FALSE)</f>
        <v>Servizi ausiliari per il funzionamento dell'ente</v>
      </c>
      <c r="O700" s="131">
        <v>2720</v>
      </c>
      <c r="P700" s="614" t="str">
        <f>VLOOKUP(O700,'Centri di Costo'!$A$2:$B$179,2,FALSE)</f>
        <v xml:space="preserve">Pellestrina - Attività Ordinaria </v>
      </c>
      <c r="Q700" s="623" t="s">
        <v>2004</v>
      </c>
      <c r="R700" s="642" t="s">
        <v>55</v>
      </c>
    </row>
    <row r="701" spans="1:18" ht="28.5" customHeight="1" outlineLevel="2">
      <c r="A701" s="85" t="s">
        <v>89</v>
      </c>
      <c r="B701" s="402" t="s">
        <v>1870</v>
      </c>
      <c r="C701" s="85" t="s">
        <v>150</v>
      </c>
      <c r="D701" s="148" t="s">
        <v>7</v>
      </c>
      <c r="E701" s="87">
        <v>2018</v>
      </c>
      <c r="F701" s="88">
        <v>133</v>
      </c>
      <c r="G701" s="120" t="s">
        <v>200</v>
      </c>
      <c r="H701" s="581" t="s">
        <v>208</v>
      </c>
      <c r="I701" s="601">
        <v>1000</v>
      </c>
      <c r="J701" s="595" t="s">
        <v>35</v>
      </c>
      <c r="K701" s="91">
        <v>1</v>
      </c>
      <c r="L701" s="91">
        <v>3</v>
      </c>
      <c r="M701" s="92">
        <v>59</v>
      </c>
      <c r="N701" s="119" t="str">
        <f>VLOOKUP(M701,'PF Uscite Sp. Corr.'!$C$1:$E$100,2,FALSE)</f>
        <v>Servizi informatici e di telecomunicazioni</v>
      </c>
      <c r="O701" s="131">
        <v>2720</v>
      </c>
      <c r="P701" s="614" t="str">
        <f>VLOOKUP(O701,'Centri di Costo'!$A$2:$B$179,2,FALSE)</f>
        <v xml:space="preserve">Pellestrina - Attività Ordinaria </v>
      </c>
      <c r="Q701" s="624" t="s">
        <v>2014</v>
      </c>
      <c r="R701" s="642" t="s">
        <v>202</v>
      </c>
    </row>
    <row r="702" spans="1:18" ht="28.5" customHeight="1" outlineLevel="2">
      <c r="A702" s="85" t="s">
        <v>308</v>
      </c>
      <c r="B702" s="402" t="s">
        <v>1870</v>
      </c>
      <c r="C702" s="85" t="s">
        <v>384</v>
      </c>
      <c r="D702" s="148" t="s">
        <v>7</v>
      </c>
      <c r="E702" s="87">
        <v>2018</v>
      </c>
      <c r="F702" s="88">
        <v>161</v>
      </c>
      <c r="G702" s="120" t="s">
        <v>441</v>
      </c>
      <c r="H702" s="581" t="s">
        <v>443</v>
      </c>
      <c r="I702" s="601">
        <v>1700</v>
      </c>
      <c r="J702" s="595" t="s">
        <v>35</v>
      </c>
      <c r="K702" s="91">
        <v>1</v>
      </c>
      <c r="L702" s="91">
        <v>10</v>
      </c>
      <c r="M702" s="92">
        <v>86</v>
      </c>
      <c r="N702" s="119" t="str">
        <f>VLOOKUP(M702,'PF Uscite Sp. Corr.'!$C$1:$E$100,2,FALSE)</f>
        <v>Premi di assicurazione contro i danni</v>
      </c>
      <c r="O702" s="131">
        <v>2720</v>
      </c>
      <c r="P702" s="614" t="str">
        <f>VLOOKUP(O702,'Centri di Costo'!$A$2:$B$179,2,FALSE)</f>
        <v xml:space="preserve">Pellestrina - Attività Ordinaria </v>
      </c>
      <c r="Q702" s="624" t="s">
        <v>2014</v>
      </c>
      <c r="R702" s="642" t="s">
        <v>59</v>
      </c>
    </row>
    <row r="703" spans="1:18" ht="28.5" customHeight="1" outlineLevel="2">
      <c r="A703" s="85" t="s">
        <v>308</v>
      </c>
      <c r="B703" s="402" t="s">
        <v>1870</v>
      </c>
      <c r="C703" s="85" t="s">
        <v>384</v>
      </c>
      <c r="D703" s="148" t="s">
        <v>7</v>
      </c>
      <c r="E703" s="87">
        <v>2018</v>
      </c>
      <c r="F703" s="88">
        <v>161</v>
      </c>
      <c r="G703" s="120" t="s">
        <v>441</v>
      </c>
      <c r="H703" s="581" t="s">
        <v>446</v>
      </c>
      <c r="I703" s="601">
        <v>1030</v>
      </c>
      <c r="J703" s="595" t="s">
        <v>35</v>
      </c>
      <c r="K703" s="91">
        <v>1</v>
      </c>
      <c r="L703" s="91">
        <v>10</v>
      </c>
      <c r="M703" s="92">
        <v>86</v>
      </c>
      <c r="N703" s="119" t="str">
        <f>VLOOKUP(M703,'PF Uscite Sp. Corr.'!$C$1:$E$100,2,FALSE)</f>
        <v>Premi di assicurazione contro i danni</v>
      </c>
      <c r="O703" s="131">
        <v>2720</v>
      </c>
      <c r="P703" s="614" t="str">
        <f>VLOOKUP(O703,'Centri di Costo'!$A$2:$B$179,2,FALSE)</f>
        <v xml:space="preserve">Pellestrina - Attività Ordinaria </v>
      </c>
      <c r="Q703" s="624" t="s">
        <v>2014</v>
      </c>
      <c r="R703" s="642" t="s">
        <v>56</v>
      </c>
    </row>
    <row r="704" spans="1:18" s="139" customFormat="1" ht="28.5" customHeight="1" outlineLevel="2">
      <c r="A704" s="115" t="s">
        <v>308</v>
      </c>
      <c r="B704" s="404" t="s">
        <v>1870</v>
      </c>
      <c r="C704" s="115" t="s">
        <v>384</v>
      </c>
      <c r="D704" s="417" t="s">
        <v>7</v>
      </c>
      <c r="E704" s="412">
        <v>2018</v>
      </c>
      <c r="F704" s="413">
        <v>161</v>
      </c>
      <c r="G704" s="123" t="s">
        <v>441</v>
      </c>
      <c r="H704" s="583" t="s">
        <v>1575</v>
      </c>
      <c r="I704" s="603">
        <v>150</v>
      </c>
      <c r="J704" s="596" t="s">
        <v>35</v>
      </c>
      <c r="K704" s="216">
        <v>1</v>
      </c>
      <c r="L704" s="216">
        <v>10</v>
      </c>
      <c r="M704" s="418">
        <v>87</v>
      </c>
      <c r="N704" s="118" t="str">
        <f>VLOOKUP(M704,'PF Uscite Sp. Corr.'!$C$1:$E$100,2,FALSE)</f>
        <v>Altri premi di assicurazione n.a.c.</v>
      </c>
      <c r="O704" s="419">
        <v>2720</v>
      </c>
      <c r="P704" s="615" t="str">
        <f>VLOOKUP(O704,'Centri di Costo'!$A$2:$B$179,2,FALSE)</f>
        <v xml:space="preserve">Pellestrina - Attività Ordinaria </v>
      </c>
      <c r="Q704" s="623" t="s">
        <v>2004</v>
      </c>
      <c r="R704" s="648" t="s">
        <v>166</v>
      </c>
    </row>
    <row r="705" spans="1:18" s="215" customFormat="1" ht="20.25" customHeight="1" outlineLevel="1" collapsed="1">
      <c r="A705" s="160"/>
      <c r="B705" s="433" t="s">
        <v>1908</v>
      </c>
      <c r="C705" s="161"/>
      <c r="D705" s="437"/>
      <c r="E705" s="438"/>
      <c r="F705" s="438"/>
      <c r="G705" s="441" t="s">
        <v>1938</v>
      </c>
      <c r="H705" s="214" t="s">
        <v>1957</v>
      </c>
      <c r="I705" s="605">
        <f>SUBTOTAL(9,I694:I704)</f>
        <v>10900</v>
      </c>
      <c r="J705" s="212"/>
      <c r="K705" s="179"/>
      <c r="L705" s="179"/>
      <c r="M705" s="213"/>
      <c r="N705" s="434"/>
      <c r="O705" s="439"/>
      <c r="P705" s="435"/>
      <c r="Q705" s="620"/>
      <c r="R705" s="645"/>
    </row>
    <row r="706" spans="1:18" ht="28.5" customHeight="1" outlineLevel="2">
      <c r="A706" s="94" t="s">
        <v>308</v>
      </c>
      <c r="B706" s="402" t="s">
        <v>1871</v>
      </c>
      <c r="C706" s="94" t="s">
        <v>384</v>
      </c>
      <c r="D706" s="149" t="s">
        <v>7</v>
      </c>
      <c r="E706" s="101">
        <v>2018</v>
      </c>
      <c r="F706" s="102">
        <v>18</v>
      </c>
      <c r="G706" s="121" t="s">
        <v>447</v>
      </c>
      <c r="H706" s="580" t="s">
        <v>1105</v>
      </c>
      <c r="I706" s="600">
        <v>27500</v>
      </c>
      <c r="J706" s="594" t="s">
        <v>35</v>
      </c>
      <c r="K706" s="99">
        <v>1</v>
      </c>
      <c r="L706" s="99">
        <v>1</v>
      </c>
      <c r="M706" s="517" t="s">
        <v>1530</v>
      </c>
      <c r="N706" s="577" t="str">
        <f>VLOOKUP(M706,'PF Uscite Sp. Corr.'!$C$1:$E$100,2,FALSE)</f>
        <v>Salari, Oneri Sociali, Acc. TFR, Buoni Pasto (e IRAP su retribuz. se dovuta) OTD</v>
      </c>
      <c r="O706" s="132">
        <v>2731</v>
      </c>
      <c r="P706" s="613" t="str">
        <f>VLOOKUP(O706,'Centri di Costo'!$A$2:$B$179,2,FALSE)</f>
        <v>Att. Ord. Valdastico - Gestione e Spese generali</v>
      </c>
      <c r="Q706" s="621" t="s">
        <v>1998</v>
      </c>
      <c r="R706" s="639" t="s">
        <v>484</v>
      </c>
    </row>
    <row r="707" spans="1:18" ht="28.5" customHeight="1" outlineLevel="2">
      <c r="A707" s="85" t="s">
        <v>308</v>
      </c>
      <c r="B707" s="402" t="s">
        <v>1871</v>
      </c>
      <c r="C707" s="85" t="s">
        <v>384</v>
      </c>
      <c r="D707" s="148" t="s">
        <v>7</v>
      </c>
      <c r="E707" s="87">
        <v>2018</v>
      </c>
      <c r="F707" s="88">
        <v>18</v>
      </c>
      <c r="G707" s="120" t="s">
        <v>447</v>
      </c>
      <c r="H707" s="586" t="s">
        <v>1630</v>
      </c>
      <c r="I707" s="607">
        <v>37300</v>
      </c>
      <c r="J707" s="595" t="s">
        <v>35</v>
      </c>
      <c r="K707" s="91">
        <v>1</v>
      </c>
      <c r="L707" s="91">
        <v>1</v>
      </c>
      <c r="M707" s="519" t="s">
        <v>1532</v>
      </c>
      <c r="N707" s="578" t="str">
        <f>VLOOKUP(M707,'PF Uscite Sp. Corr.'!$C$1:$E$100,2,FALSE)</f>
        <v>Salari, Oneri Sociali, Acc. TFR, Buoni Pasto (e IRAP su retribuz. se dovuta) OTI</v>
      </c>
      <c r="O707" s="131">
        <v>2731</v>
      </c>
      <c r="P707" s="614" t="str">
        <f>VLOOKUP(O707,'Centri di Costo'!$A$2:$B$179,2,FALSE)</f>
        <v>Att. Ord. Valdastico - Gestione e Spese generali</v>
      </c>
      <c r="Q707" s="621" t="s">
        <v>1998</v>
      </c>
      <c r="R707" s="642" t="s">
        <v>427</v>
      </c>
    </row>
    <row r="708" spans="1:18" ht="28.5" customHeight="1" outlineLevel="2">
      <c r="A708" s="85" t="s">
        <v>308</v>
      </c>
      <c r="B708" s="402" t="s">
        <v>1871</v>
      </c>
      <c r="C708" s="85" t="s">
        <v>384</v>
      </c>
      <c r="D708" s="148" t="s">
        <v>7</v>
      </c>
      <c r="E708" s="87">
        <v>2018</v>
      </c>
      <c r="F708" s="88">
        <v>18</v>
      </c>
      <c r="G708" s="120" t="s">
        <v>447</v>
      </c>
      <c r="H708" s="581" t="s">
        <v>362</v>
      </c>
      <c r="I708" s="601">
        <v>100</v>
      </c>
      <c r="J708" s="595" t="s">
        <v>35</v>
      </c>
      <c r="K708" s="91">
        <v>1</v>
      </c>
      <c r="L708" s="91">
        <v>2</v>
      </c>
      <c r="M708" s="92">
        <v>12</v>
      </c>
      <c r="N708" s="119" t="str">
        <f>VLOOKUP(M708,'PF Uscite Sp. Corr.'!$C$1:$E$100,2,FALSE)</f>
        <v>Imposta di registro e di bollo</v>
      </c>
      <c r="O708" s="131">
        <v>2731</v>
      </c>
      <c r="P708" s="614" t="str">
        <f>VLOOKUP(O708,'Centri di Costo'!$A$2:$B$179,2,FALSE)</f>
        <v>Att. Ord. Valdastico - Gestione e Spese generali</v>
      </c>
      <c r="Q708" s="622" t="s">
        <v>1844</v>
      </c>
      <c r="R708" s="642" t="s">
        <v>47</v>
      </c>
    </row>
    <row r="709" spans="1:18" ht="28.5" customHeight="1" outlineLevel="2">
      <c r="A709" s="85" t="s">
        <v>308</v>
      </c>
      <c r="B709" s="402" t="s">
        <v>1871</v>
      </c>
      <c r="C709" s="85" t="s">
        <v>384</v>
      </c>
      <c r="D709" s="148" t="s">
        <v>7</v>
      </c>
      <c r="E709" s="87">
        <v>2018</v>
      </c>
      <c r="F709" s="88">
        <v>18</v>
      </c>
      <c r="G709" s="120" t="s">
        <v>447</v>
      </c>
      <c r="H709" s="581" t="s">
        <v>476</v>
      </c>
      <c r="I709" s="601">
        <v>250</v>
      </c>
      <c r="J709" s="595" t="s">
        <v>35</v>
      </c>
      <c r="K709" s="91">
        <v>1</v>
      </c>
      <c r="L709" s="91">
        <v>2</v>
      </c>
      <c r="M709" s="92">
        <v>16</v>
      </c>
      <c r="N709" s="119" t="str">
        <f>VLOOKUP(M709,'PF Uscite Sp. Corr.'!$C$1:$E$100,2,FALSE)</f>
        <v>Tassa e/o tariffa smaltimento rifiuti solidi urbani</v>
      </c>
      <c r="O709" s="131">
        <v>2731</v>
      </c>
      <c r="P709" s="614" t="str">
        <f>VLOOKUP(O709,'Centri di Costo'!$A$2:$B$179,2,FALSE)</f>
        <v>Att. Ord. Valdastico - Gestione e Spese generali</v>
      </c>
      <c r="Q709" s="622" t="s">
        <v>1844</v>
      </c>
      <c r="R709" s="642" t="s">
        <v>71</v>
      </c>
    </row>
    <row r="710" spans="1:18" ht="28.5" customHeight="1" outlineLevel="2">
      <c r="A710" s="85" t="s">
        <v>308</v>
      </c>
      <c r="B710" s="402" t="s">
        <v>1871</v>
      </c>
      <c r="C710" s="85" t="s">
        <v>384</v>
      </c>
      <c r="D710" s="148" t="s">
        <v>7</v>
      </c>
      <c r="E710" s="87">
        <v>2018</v>
      </c>
      <c r="F710" s="88">
        <v>18</v>
      </c>
      <c r="G710" s="120" t="s">
        <v>447</v>
      </c>
      <c r="H710" s="581" t="s">
        <v>477</v>
      </c>
      <c r="I710" s="601">
        <v>3600</v>
      </c>
      <c r="J710" s="595" t="s">
        <v>35</v>
      </c>
      <c r="K710" s="91">
        <v>1</v>
      </c>
      <c r="L710" s="91">
        <v>2</v>
      </c>
      <c r="M710" s="92">
        <v>29</v>
      </c>
      <c r="N710" s="119" t="str">
        <f>VLOOKUP(M710,'PF Uscite Sp. Corr.'!$C$1:$E$100,2,FALSE)</f>
        <v>Imposte, tasse e proventi assimilati a carico dell'ente n.a.c.</v>
      </c>
      <c r="O710" s="131">
        <v>2731</v>
      </c>
      <c r="P710" s="614" t="str">
        <f>VLOOKUP(O710,'Centri di Costo'!$A$2:$B$179,2,FALSE)</f>
        <v>Att. Ord. Valdastico - Gestione e Spese generali</v>
      </c>
      <c r="Q710" s="622" t="s">
        <v>1844</v>
      </c>
      <c r="R710" s="642" t="s">
        <v>69</v>
      </c>
    </row>
    <row r="711" spans="1:18" ht="28.5" customHeight="1" outlineLevel="2">
      <c r="A711" s="85" t="s">
        <v>308</v>
      </c>
      <c r="B711" s="402" t="s">
        <v>1871</v>
      </c>
      <c r="C711" s="85" t="s">
        <v>384</v>
      </c>
      <c r="D711" s="148" t="s">
        <v>7</v>
      </c>
      <c r="E711" s="87">
        <v>2018</v>
      </c>
      <c r="F711" s="88">
        <v>18</v>
      </c>
      <c r="G711" s="120" t="s">
        <v>447</v>
      </c>
      <c r="H711" s="581" t="s">
        <v>448</v>
      </c>
      <c r="I711" s="601">
        <v>5000</v>
      </c>
      <c r="J711" s="595" t="s">
        <v>35</v>
      </c>
      <c r="K711" s="91">
        <v>1</v>
      </c>
      <c r="L711" s="91">
        <v>3</v>
      </c>
      <c r="M711" s="92">
        <v>32</v>
      </c>
      <c r="N711" s="119" t="str">
        <f>VLOOKUP(M711,'PF Uscite Sp. Corr.'!$C$1:$E$100,2,FALSE)</f>
        <v>Altri beni di consumo</v>
      </c>
      <c r="O711" s="131">
        <v>2731</v>
      </c>
      <c r="P711" s="614" t="str">
        <f>VLOOKUP(O711,'Centri di Costo'!$A$2:$B$179,2,FALSE)</f>
        <v>Att. Ord. Valdastico - Gestione e Spese generali</v>
      </c>
      <c r="Q711" s="623" t="s">
        <v>2004</v>
      </c>
      <c r="R711" s="642" t="s">
        <v>449</v>
      </c>
    </row>
    <row r="712" spans="1:18" ht="28.5" customHeight="1" outlineLevel="2">
      <c r="A712" s="85" t="s">
        <v>308</v>
      </c>
      <c r="B712" s="402" t="s">
        <v>1871</v>
      </c>
      <c r="C712" s="85" t="s">
        <v>384</v>
      </c>
      <c r="D712" s="148" t="s">
        <v>7</v>
      </c>
      <c r="E712" s="87">
        <v>2018</v>
      </c>
      <c r="F712" s="88">
        <v>18</v>
      </c>
      <c r="G712" s="120" t="s">
        <v>447</v>
      </c>
      <c r="H712" s="581" t="s">
        <v>450</v>
      </c>
      <c r="I712" s="601">
        <v>1000</v>
      </c>
      <c r="J712" s="595" t="s">
        <v>35</v>
      </c>
      <c r="K712" s="91">
        <v>1</v>
      </c>
      <c r="L712" s="91">
        <v>3</v>
      </c>
      <c r="M712" s="92">
        <v>32</v>
      </c>
      <c r="N712" s="119" t="str">
        <f>VLOOKUP(M712,'PF Uscite Sp. Corr.'!$C$1:$E$100,2,FALSE)</f>
        <v>Altri beni di consumo</v>
      </c>
      <c r="O712" s="131">
        <v>2731</v>
      </c>
      <c r="P712" s="614" t="str">
        <f>VLOOKUP(O712,'Centri di Costo'!$A$2:$B$179,2,FALSE)</f>
        <v>Att. Ord. Valdastico - Gestione e Spese generali</v>
      </c>
      <c r="Q712" s="623" t="s">
        <v>2004</v>
      </c>
      <c r="R712" s="642" t="s">
        <v>192</v>
      </c>
    </row>
    <row r="713" spans="1:18" ht="28.5" customHeight="1" outlineLevel="2">
      <c r="A713" s="85" t="s">
        <v>308</v>
      </c>
      <c r="B713" s="402" t="s">
        <v>1871</v>
      </c>
      <c r="C713" s="85" t="s">
        <v>384</v>
      </c>
      <c r="D713" s="148" t="s">
        <v>7</v>
      </c>
      <c r="E713" s="87">
        <v>2018</v>
      </c>
      <c r="F713" s="88">
        <v>18</v>
      </c>
      <c r="G713" s="120" t="s">
        <v>447</v>
      </c>
      <c r="H713" s="581" t="s">
        <v>417</v>
      </c>
      <c r="I713" s="601">
        <v>200</v>
      </c>
      <c r="J713" s="595" t="s">
        <v>35</v>
      </c>
      <c r="K713" s="91">
        <v>1</v>
      </c>
      <c r="L713" s="91">
        <v>3</v>
      </c>
      <c r="M713" s="92">
        <v>32</v>
      </c>
      <c r="N713" s="119" t="str">
        <f>VLOOKUP(M713,'PF Uscite Sp. Corr.'!$C$1:$E$100,2,FALSE)</f>
        <v>Altri beni di consumo</v>
      </c>
      <c r="O713" s="131">
        <v>2731</v>
      </c>
      <c r="P713" s="614" t="str">
        <f>VLOOKUP(O713,'Centri di Costo'!$A$2:$B$179,2,FALSE)</f>
        <v>Att. Ord. Valdastico - Gestione e Spese generali</v>
      </c>
      <c r="Q713" s="623" t="s">
        <v>2004</v>
      </c>
      <c r="R713" s="642" t="s">
        <v>469</v>
      </c>
    </row>
    <row r="714" spans="1:18" ht="28.5" customHeight="1" outlineLevel="2">
      <c r="A714" s="85" t="s">
        <v>308</v>
      </c>
      <c r="B714" s="402" t="s">
        <v>1871</v>
      </c>
      <c r="C714" s="85" t="s">
        <v>384</v>
      </c>
      <c r="D714" s="148" t="s">
        <v>7</v>
      </c>
      <c r="E714" s="87">
        <v>2018</v>
      </c>
      <c r="F714" s="88">
        <v>18</v>
      </c>
      <c r="G714" s="120" t="s">
        <v>447</v>
      </c>
      <c r="H714" s="581" t="s">
        <v>470</v>
      </c>
      <c r="I714" s="601">
        <v>800</v>
      </c>
      <c r="J714" s="595" t="s">
        <v>35</v>
      </c>
      <c r="K714" s="91">
        <v>1</v>
      </c>
      <c r="L714" s="91">
        <v>3</v>
      </c>
      <c r="M714" s="92">
        <v>32</v>
      </c>
      <c r="N714" s="119" t="str">
        <f>VLOOKUP(M714,'PF Uscite Sp. Corr.'!$C$1:$E$100,2,FALSE)</f>
        <v>Altri beni di consumo</v>
      </c>
      <c r="O714" s="131">
        <v>2731</v>
      </c>
      <c r="P714" s="614" t="str">
        <f>VLOOKUP(O714,'Centri di Costo'!$A$2:$B$179,2,FALSE)</f>
        <v>Att. Ord. Valdastico - Gestione e Spese generali</v>
      </c>
      <c r="Q714" s="623" t="s">
        <v>2004</v>
      </c>
      <c r="R714" s="642" t="s">
        <v>426</v>
      </c>
    </row>
    <row r="715" spans="1:18" ht="28.5" customHeight="1" outlineLevel="2">
      <c r="A715" s="85" t="s">
        <v>308</v>
      </c>
      <c r="B715" s="402" t="s">
        <v>1871</v>
      </c>
      <c r="C715" s="85" t="s">
        <v>384</v>
      </c>
      <c r="D715" s="148" t="s">
        <v>7</v>
      </c>
      <c r="E715" s="87">
        <v>2018</v>
      </c>
      <c r="F715" s="88">
        <v>18</v>
      </c>
      <c r="G715" s="120" t="s">
        <v>447</v>
      </c>
      <c r="H715" s="581" t="s">
        <v>471</v>
      </c>
      <c r="I715" s="601">
        <v>4000</v>
      </c>
      <c r="J715" s="595" t="s">
        <v>35</v>
      </c>
      <c r="K715" s="91">
        <v>1</v>
      </c>
      <c r="L715" s="91">
        <v>3</v>
      </c>
      <c r="M715" s="92">
        <v>32</v>
      </c>
      <c r="N715" s="119" t="str">
        <f>VLOOKUP(M715,'PF Uscite Sp. Corr.'!$C$1:$E$100,2,FALSE)</f>
        <v>Altri beni di consumo</v>
      </c>
      <c r="O715" s="131">
        <v>2731</v>
      </c>
      <c r="P715" s="614" t="str">
        <f>VLOOKUP(O715,'Centri di Costo'!$A$2:$B$179,2,FALSE)</f>
        <v>Att. Ord. Valdastico - Gestione e Spese generali</v>
      </c>
      <c r="Q715" s="623" t="s">
        <v>2004</v>
      </c>
      <c r="R715" s="642" t="s">
        <v>472</v>
      </c>
    </row>
    <row r="716" spans="1:18" ht="28.5" customHeight="1" outlineLevel="2">
      <c r="A716" s="85" t="s">
        <v>308</v>
      </c>
      <c r="B716" s="402" t="s">
        <v>1871</v>
      </c>
      <c r="C716" s="85" t="s">
        <v>384</v>
      </c>
      <c r="D716" s="148" t="s">
        <v>7</v>
      </c>
      <c r="E716" s="87">
        <v>2018</v>
      </c>
      <c r="F716" s="88">
        <v>18</v>
      </c>
      <c r="G716" s="120" t="s">
        <v>447</v>
      </c>
      <c r="H716" s="581" t="s">
        <v>473</v>
      </c>
      <c r="I716" s="601">
        <v>250</v>
      </c>
      <c r="J716" s="595" t="s">
        <v>35</v>
      </c>
      <c r="K716" s="91">
        <v>1</v>
      </c>
      <c r="L716" s="91">
        <v>3</v>
      </c>
      <c r="M716" s="92">
        <v>32</v>
      </c>
      <c r="N716" s="119" t="str">
        <f>VLOOKUP(M716,'PF Uscite Sp. Corr.'!$C$1:$E$100,2,FALSE)</f>
        <v>Altri beni di consumo</v>
      </c>
      <c r="O716" s="131">
        <v>2731</v>
      </c>
      <c r="P716" s="614" t="str">
        <f>VLOOKUP(O716,'Centri di Costo'!$A$2:$B$179,2,FALSE)</f>
        <v>Att. Ord. Valdastico - Gestione e Spese generali</v>
      </c>
      <c r="Q716" s="623" t="s">
        <v>2004</v>
      </c>
      <c r="R716" s="642" t="s">
        <v>474</v>
      </c>
    </row>
    <row r="717" spans="1:18" ht="28.5" customHeight="1" outlineLevel="2">
      <c r="A717" s="85" t="s">
        <v>308</v>
      </c>
      <c r="B717" s="402" t="s">
        <v>1871</v>
      </c>
      <c r="C717" s="85" t="s">
        <v>384</v>
      </c>
      <c r="D717" s="148" t="s">
        <v>7</v>
      </c>
      <c r="E717" s="87">
        <v>2018</v>
      </c>
      <c r="F717" s="88">
        <v>18</v>
      </c>
      <c r="G717" s="120" t="s">
        <v>447</v>
      </c>
      <c r="H717" s="581" t="s">
        <v>475</v>
      </c>
      <c r="I717" s="601">
        <v>250</v>
      </c>
      <c r="J717" s="595" t="s">
        <v>35</v>
      </c>
      <c r="K717" s="91">
        <v>1</v>
      </c>
      <c r="L717" s="91">
        <v>3</v>
      </c>
      <c r="M717" s="92">
        <v>32</v>
      </c>
      <c r="N717" s="119" t="str">
        <f>VLOOKUP(M717,'PF Uscite Sp. Corr.'!$C$1:$E$100,2,FALSE)</f>
        <v>Altri beni di consumo</v>
      </c>
      <c r="O717" s="131">
        <v>2731</v>
      </c>
      <c r="P717" s="614" t="str">
        <f>VLOOKUP(O717,'Centri di Costo'!$A$2:$B$179,2,FALSE)</f>
        <v>Att. Ord. Valdastico - Gestione e Spese generali</v>
      </c>
      <c r="Q717" s="623" t="s">
        <v>2004</v>
      </c>
      <c r="R717" s="642" t="s">
        <v>438</v>
      </c>
    </row>
    <row r="718" spans="1:18" ht="28.5" customHeight="1" outlineLevel="2">
      <c r="A718" s="85" t="s">
        <v>308</v>
      </c>
      <c r="B718" s="402" t="s">
        <v>1871</v>
      </c>
      <c r="C718" s="85" t="s">
        <v>384</v>
      </c>
      <c r="D718" s="148" t="s">
        <v>7</v>
      </c>
      <c r="E718" s="87">
        <v>2018</v>
      </c>
      <c r="F718" s="88">
        <v>18</v>
      </c>
      <c r="G718" s="120" t="s">
        <v>447</v>
      </c>
      <c r="H718" s="581" t="s">
        <v>480</v>
      </c>
      <c r="I718" s="601">
        <v>500</v>
      </c>
      <c r="J718" s="595" t="s">
        <v>35</v>
      </c>
      <c r="K718" s="91">
        <v>1</v>
      </c>
      <c r="L718" s="91">
        <v>3</v>
      </c>
      <c r="M718" s="92">
        <v>32</v>
      </c>
      <c r="N718" s="119" t="str">
        <f>VLOOKUP(M718,'PF Uscite Sp. Corr.'!$C$1:$E$100,2,FALSE)</f>
        <v>Altri beni di consumo</v>
      </c>
      <c r="O718" s="131">
        <v>2731</v>
      </c>
      <c r="P718" s="614" t="str">
        <f>VLOOKUP(O718,'Centri di Costo'!$A$2:$B$179,2,FALSE)</f>
        <v>Att. Ord. Valdastico - Gestione e Spese generali</v>
      </c>
      <c r="Q718" s="623" t="s">
        <v>2004</v>
      </c>
      <c r="R718" s="642" t="s">
        <v>481</v>
      </c>
    </row>
    <row r="719" spans="1:18" ht="28.5" customHeight="1" outlineLevel="2">
      <c r="A719" s="85" t="s">
        <v>308</v>
      </c>
      <c r="B719" s="402" t="s">
        <v>1871</v>
      </c>
      <c r="C719" s="85" t="s">
        <v>384</v>
      </c>
      <c r="D719" s="148" t="s">
        <v>7</v>
      </c>
      <c r="E719" s="87">
        <v>2018</v>
      </c>
      <c r="F719" s="88">
        <v>18</v>
      </c>
      <c r="G719" s="120" t="s">
        <v>447</v>
      </c>
      <c r="H719" s="581" t="s">
        <v>482</v>
      </c>
      <c r="I719" s="601">
        <v>400</v>
      </c>
      <c r="J719" s="595" t="s">
        <v>35</v>
      </c>
      <c r="K719" s="91">
        <v>1</v>
      </c>
      <c r="L719" s="91">
        <v>3</v>
      </c>
      <c r="M719" s="92">
        <v>32</v>
      </c>
      <c r="N719" s="119" t="str">
        <f>VLOOKUP(M719,'PF Uscite Sp. Corr.'!$C$1:$E$100,2,FALSE)</f>
        <v>Altri beni di consumo</v>
      </c>
      <c r="O719" s="131">
        <v>2731</v>
      </c>
      <c r="P719" s="614" t="str">
        <f>VLOOKUP(O719,'Centri di Costo'!$A$2:$B$179,2,FALSE)</f>
        <v>Att. Ord. Valdastico - Gestione e Spese generali</v>
      </c>
      <c r="Q719" s="623" t="s">
        <v>2004</v>
      </c>
      <c r="R719" s="642" t="s">
        <v>483</v>
      </c>
    </row>
    <row r="720" spans="1:18" ht="28.5" customHeight="1" outlineLevel="2">
      <c r="A720" s="85" t="s">
        <v>308</v>
      </c>
      <c r="B720" s="402" t="s">
        <v>1871</v>
      </c>
      <c r="C720" s="85" t="s">
        <v>384</v>
      </c>
      <c r="D720" s="148" t="s">
        <v>7</v>
      </c>
      <c r="E720" s="87">
        <v>2018</v>
      </c>
      <c r="F720" s="88">
        <v>18</v>
      </c>
      <c r="G720" s="120" t="s">
        <v>447</v>
      </c>
      <c r="H720" s="581" t="s">
        <v>435</v>
      </c>
      <c r="I720" s="601">
        <v>1000</v>
      </c>
      <c r="J720" s="595" t="s">
        <v>35</v>
      </c>
      <c r="K720" s="91">
        <v>1</v>
      </c>
      <c r="L720" s="91">
        <v>3</v>
      </c>
      <c r="M720" s="92">
        <v>32</v>
      </c>
      <c r="N720" s="119" t="str">
        <f>VLOOKUP(M720,'PF Uscite Sp. Corr.'!$C$1:$E$100,2,FALSE)</f>
        <v>Altri beni di consumo</v>
      </c>
      <c r="O720" s="131">
        <v>2731</v>
      </c>
      <c r="P720" s="614" t="str">
        <f>VLOOKUP(O720,'Centri di Costo'!$A$2:$B$179,2,FALSE)</f>
        <v>Att. Ord. Valdastico - Gestione e Spese generali</v>
      </c>
      <c r="Q720" s="623" t="s">
        <v>2004</v>
      </c>
      <c r="R720" s="642" t="s">
        <v>436</v>
      </c>
    </row>
    <row r="721" spans="1:18" ht="28.5" customHeight="1" outlineLevel="2">
      <c r="A721" s="85" t="s">
        <v>308</v>
      </c>
      <c r="B721" s="402" t="s">
        <v>1871</v>
      </c>
      <c r="C721" s="85" t="s">
        <v>384</v>
      </c>
      <c r="D721" s="148" t="s">
        <v>7</v>
      </c>
      <c r="E721" s="87">
        <v>2018</v>
      </c>
      <c r="F721" s="88">
        <v>18</v>
      </c>
      <c r="G721" s="120" t="s">
        <v>447</v>
      </c>
      <c r="H721" s="581" t="s">
        <v>467</v>
      </c>
      <c r="I721" s="601">
        <v>1000</v>
      </c>
      <c r="J721" s="595" t="s">
        <v>35</v>
      </c>
      <c r="K721" s="91">
        <v>1</v>
      </c>
      <c r="L721" s="91">
        <v>3</v>
      </c>
      <c r="M721" s="92">
        <v>33</v>
      </c>
      <c r="N721" s="119" t="str">
        <f>VLOOKUP(M721,'PF Uscite Sp. Corr.'!$C$1:$E$100,2,FALSE)</f>
        <v>Flora e Fauna</v>
      </c>
      <c r="O721" s="131">
        <v>2731</v>
      </c>
      <c r="P721" s="614" t="str">
        <f>VLOOKUP(O721,'Centri di Costo'!$A$2:$B$179,2,FALSE)</f>
        <v>Att. Ord. Valdastico - Gestione e Spese generali</v>
      </c>
      <c r="Q721" s="623" t="s">
        <v>2004</v>
      </c>
      <c r="R721" s="642" t="s">
        <v>419</v>
      </c>
    </row>
    <row r="722" spans="1:18" ht="28.5" customHeight="1" outlineLevel="2">
      <c r="A722" s="85" t="s">
        <v>308</v>
      </c>
      <c r="B722" s="402" t="s">
        <v>1871</v>
      </c>
      <c r="C722" s="85" t="s">
        <v>384</v>
      </c>
      <c r="D722" s="148" t="s">
        <v>7</v>
      </c>
      <c r="E722" s="87">
        <v>2018</v>
      </c>
      <c r="F722" s="88">
        <v>163</v>
      </c>
      <c r="G722" s="120" t="s">
        <v>486</v>
      </c>
      <c r="H722" s="581" t="s">
        <v>487</v>
      </c>
      <c r="I722" s="601">
        <v>239600</v>
      </c>
      <c r="J722" s="595" t="s">
        <v>35</v>
      </c>
      <c r="K722" s="91">
        <v>1</v>
      </c>
      <c r="L722" s="91">
        <v>3</v>
      </c>
      <c r="M722" s="92">
        <v>33</v>
      </c>
      <c r="N722" s="119" t="str">
        <f>VLOOKUP(M722,'PF Uscite Sp. Corr.'!$C$1:$E$100,2,FALSE)</f>
        <v>Flora e Fauna</v>
      </c>
      <c r="O722" s="131">
        <v>2732</v>
      </c>
      <c r="P722" s="614" t="str">
        <f>VLOOKUP(O722,'Centri di Costo'!$A$2:$B$179,2,FALSE)</f>
        <v>Att. Ord. Valdastico - Obblighi Ittiogenici</v>
      </c>
      <c r="Q722" s="623" t="s">
        <v>2004</v>
      </c>
      <c r="R722" s="642" t="s">
        <v>488</v>
      </c>
    </row>
    <row r="723" spans="1:18" ht="28.5" customHeight="1" outlineLevel="2">
      <c r="A723" s="85" t="s">
        <v>308</v>
      </c>
      <c r="B723" s="402" t="s">
        <v>1871</v>
      </c>
      <c r="C723" s="85" t="s">
        <v>384</v>
      </c>
      <c r="D723" s="148" t="s">
        <v>7</v>
      </c>
      <c r="E723" s="87">
        <v>2018</v>
      </c>
      <c r="F723" s="88">
        <v>18</v>
      </c>
      <c r="G723" s="120" t="s">
        <v>447</v>
      </c>
      <c r="H723" s="581" t="s">
        <v>465</v>
      </c>
      <c r="I723" s="601">
        <v>500</v>
      </c>
      <c r="J723" s="595" t="s">
        <v>35</v>
      </c>
      <c r="K723" s="91">
        <v>1</v>
      </c>
      <c r="L723" s="91">
        <v>3</v>
      </c>
      <c r="M723" s="92">
        <v>35</v>
      </c>
      <c r="N723" s="119" t="str">
        <f>VLOOKUP(M723,'PF Uscite Sp. Corr.'!$C$1:$E$100,2,FALSE)</f>
        <v>Medicinali e altri beni di consumo sanitario</v>
      </c>
      <c r="O723" s="131">
        <v>2731</v>
      </c>
      <c r="P723" s="614" t="str">
        <f>VLOOKUP(O723,'Centri di Costo'!$A$2:$B$179,2,FALSE)</f>
        <v>Att. Ord. Valdastico - Gestione e Spese generali</v>
      </c>
      <c r="Q723" s="623" t="s">
        <v>2004</v>
      </c>
      <c r="R723" s="642" t="s">
        <v>466</v>
      </c>
    </row>
    <row r="724" spans="1:18" ht="28.5" customHeight="1" outlineLevel="2">
      <c r="A724" s="85" t="s">
        <v>308</v>
      </c>
      <c r="B724" s="402" t="s">
        <v>1871</v>
      </c>
      <c r="C724" s="85" t="s">
        <v>384</v>
      </c>
      <c r="D724" s="148" t="s">
        <v>7</v>
      </c>
      <c r="E724" s="87">
        <v>2018</v>
      </c>
      <c r="F724" s="88">
        <v>18</v>
      </c>
      <c r="G724" s="120" t="s">
        <v>447</v>
      </c>
      <c r="H724" s="581" t="s">
        <v>463</v>
      </c>
      <c r="I724" s="601">
        <v>5000</v>
      </c>
      <c r="J724" s="595" t="s">
        <v>35</v>
      </c>
      <c r="K724" s="91">
        <v>1</v>
      </c>
      <c r="L724" s="91">
        <v>3</v>
      </c>
      <c r="M724" s="92">
        <v>42</v>
      </c>
      <c r="N724" s="119" t="str">
        <f>VLOOKUP(M724,'PF Uscite Sp. Corr.'!$C$1:$E$100,2,FALSE)</f>
        <v>Rimborso viaggio e Indennità di missione e trasferta</v>
      </c>
      <c r="O724" s="131">
        <v>2731</v>
      </c>
      <c r="P724" s="614" t="str">
        <f>VLOOKUP(O724,'Centri di Costo'!$A$2:$B$179,2,FALSE)</f>
        <v>Att. Ord. Valdastico - Gestione e Spese generali</v>
      </c>
      <c r="Q724" s="623" t="s">
        <v>2004</v>
      </c>
      <c r="R724" s="642" t="s">
        <v>464</v>
      </c>
    </row>
    <row r="725" spans="1:18" ht="28.5" customHeight="1" outlineLevel="2">
      <c r="A725" s="85" t="s">
        <v>308</v>
      </c>
      <c r="B725" s="402" t="s">
        <v>1871</v>
      </c>
      <c r="C725" s="85" t="s">
        <v>384</v>
      </c>
      <c r="D725" s="148" t="s">
        <v>7</v>
      </c>
      <c r="E725" s="87">
        <v>2018</v>
      </c>
      <c r="F725" s="88">
        <v>18</v>
      </c>
      <c r="G725" s="120" t="s">
        <v>447</v>
      </c>
      <c r="H725" s="581" t="s">
        <v>461</v>
      </c>
      <c r="I725" s="601">
        <v>1300</v>
      </c>
      <c r="J725" s="595" t="s">
        <v>35</v>
      </c>
      <c r="K725" s="91">
        <v>1</v>
      </c>
      <c r="L725" s="91">
        <v>3</v>
      </c>
      <c r="M725" s="92">
        <v>45</v>
      </c>
      <c r="N725" s="119" t="str">
        <f>VLOOKUP(M725,'PF Uscite Sp. Corr.'!$C$1:$E$100,2,FALSE)</f>
        <v>Utenze e canoni</v>
      </c>
      <c r="O725" s="131">
        <v>2731</v>
      </c>
      <c r="P725" s="614" t="str">
        <f>VLOOKUP(O725,'Centri di Costo'!$A$2:$B$179,2,FALSE)</f>
        <v>Att. Ord. Valdastico - Gestione e Spese generali</v>
      </c>
      <c r="Q725" s="624" t="s">
        <v>2014</v>
      </c>
      <c r="R725" s="642" t="s">
        <v>63</v>
      </c>
    </row>
    <row r="726" spans="1:18" ht="28.5" customHeight="1" outlineLevel="2">
      <c r="A726" s="85" t="s">
        <v>308</v>
      </c>
      <c r="B726" s="402" t="s">
        <v>1871</v>
      </c>
      <c r="C726" s="85" t="s">
        <v>384</v>
      </c>
      <c r="D726" s="148" t="s">
        <v>7</v>
      </c>
      <c r="E726" s="87">
        <v>2018</v>
      </c>
      <c r="F726" s="88">
        <v>18</v>
      </c>
      <c r="G726" s="120" t="s">
        <v>447</v>
      </c>
      <c r="H726" s="581" t="s">
        <v>57</v>
      </c>
      <c r="I726" s="601">
        <v>24000</v>
      </c>
      <c r="J726" s="595" t="s">
        <v>35</v>
      </c>
      <c r="K726" s="91">
        <v>1</v>
      </c>
      <c r="L726" s="91">
        <v>3</v>
      </c>
      <c r="M726" s="92">
        <v>45</v>
      </c>
      <c r="N726" s="119" t="str">
        <f>VLOOKUP(M726,'PF Uscite Sp. Corr.'!$C$1:$E$100,2,FALSE)</f>
        <v>Utenze e canoni</v>
      </c>
      <c r="O726" s="131">
        <v>2731</v>
      </c>
      <c r="P726" s="614" t="str">
        <f>VLOOKUP(O726,'Centri di Costo'!$A$2:$B$179,2,FALSE)</f>
        <v>Att. Ord. Valdastico - Gestione e Spese generali</v>
      </c>
      <c r="Q726" s="624" t="s">
        <v>2014</v>
      </c>
      <c r="R726" s="642" t="s">
        <v>58</v>
      </c>
    </row>
    <row r="727" spans="1:18" ht="28.5" customHeight="1" outlineLevel="2">
      <c r="A727" s="85" t="s">
        <v>308</v>
      </c>
      <c r="B727" s="402" t="s">
        <v>1871</v>
      </c>
      <c r="C727" s="85" t="s">
        <v>384</v>
      </c>
      <c r="D727" s="148" t="s">
        <v>7</v>
      </c>
      <c r="E727" s="87">
        <v>2018</v>
      </c>
      <c r="F727" s="88">
        <v>18</v>
      </c>
      <c r="G727" s="120" t="s">
        <v>447</v>
      </c>
      <c r="H727" s="581" t="s">
        <v>462</v>
      </c>
      <c r="I727" s="601">
        <v>700</v>
      </c>
      <c r="J727" s="595" t="s">
        <v>35</v>
      </c>
      <c r="K727" s="91">
        <v>1</v>
      </c>
      <c r="L727" s="91">
        <v>3</v>
      </c>
      <c r="M727" s="92">
        <v>45</v>
      </c>
      <c r="N727" s="119" t="str">
        <f>VLOOKUP(M727,'PF Uscite Sp. Corr.'!$C$1:$E$100,2,FALSE)</f>
        <v>Utenze e canoni</v>
      </c>
      <c r="O727" s="131">
        <v>2731</v>
      </c>
      <c r="P727" s="614" t="str">
        <f>VLOOKUP(O727,'Centri di Costo'!$A$2:$B$179,2,FALSE)</f>
        <v>Att. Ord. Valdastico - Gestione e Spese generali</v>
      </c>
      <c r="Q727" s="624" t="s">
        <v>2014</v>
      </c>
      <c r="R727" s="642" t="s">
        <v>65</v>
      </c>
    </row>
    <row r="728" spans="1:18" ht="28.5" customHeight="1" outlineLevel="2">
      <c r="A728" s="85" t="s">
        <v>308</v>
      </c>
      <c r="B728" s="402" t="s">
        <v>1871</v>
      </c>
      <c r="C728" s="85" t="s">
        <v>384</v>
      </c>
      <c r="D728" s="148" t="s">
        <v>7</v>
      </c>
      <c r="E728" s="87">
        <v>2018</v>
      </c>
      <c r="F728" s="88">
        <v>18</v>
      </c>
      <c r="G728" s="120" t="s">
        <v>447</v>
      </c>
      <c r="H728" s="581" t="s">
        <v>458</v>
      </c>
      <c r="I728" s="601">
        <v>120</v>
      </c>
      <c r="J728" s="595" t="s">
        <v>35</v>
      </c>
      <c r="K728" s="91">
        <v>1</v>
      </c>
      <c r="L728" s="91">
        <v>3</v>
      </c>
      <c r="M728" s="92">
        <v>47</v>
      </c>
      <c r="N728" s="119" t="str">
        <f>VLOOKUP(M728,'PF Uscite Sp. Corr.'!$C$1:$E$100,2,FALSE)</f>
        <v>Utilizzo di beni di terzi</v>
      </c>
      <c r="O728" s="131">
        <v>2731</v>
      </c>
      <c r="P728" s="614" t="str">
        <f>VLOOKUP(O728,'Centri di Costo'!$A$2:$B$179,2,FALSE)</f>
        <v>Att. Ord. Valdastico - Gestione e Spese generali</v>
      </c>
      <c r="Q728" s="623" t="s">
        <v>2004</v>
      </c>
      <c r="R728" s="642" t="s">
        <v>127</v>
      </c>
    </row>
    <row r="729" spans="1:18" ht="28.5" customHeight="1" outlineLevel="2">
      <c r="A729" s="85" t="s">
        <v>308</v>
      </c>
      <c r="B729" s="402" t="s">
        <v>1871</v>
      </c>
      <c r="C729" s="85" t="s">
        <v>384</v>
      </c>
      <c r="D729" s="148" t="s">
        <v>7</v>
      </c>
      <c r="E729" s="87">
        <v>2018</v>
      </c>
      <c r="F729" s="88">
        <v>18</v>
      </c>
      <c r="G729" s="120" t="s">
        <v>447</v>
      </c>
      <c r="H729" s="581" t="s">
        <v>457</v>
      </c>
      <c r="I729" s="601">
        <v>1500</v>
      </c>
      <c r="J729" s="595" t="s">
        <v>35</v>
      </c>
      <c r="K729" s="91">
        <v>1</v>
      </c>
      <c r="L729" s="91">
        <v>3</v>
      </c>
      <c r="M729" s="92">
        <v>49</v>
      </c>
      <c r="N729" s="119" t="str">
        <f>VLOOKUP(M729,'PF Uscite Sp. Corr.'!$C$1:$E$100,2,FALSE)</f>
        <v>Manutenzione ordinaria e riparazioni</v>
      </c>
      <c r="O729" s="131">
        <v>2731</v>
      </c>
      <c r="P729" s="614" t="str">
        <f>VLOOKUP(O729,'Centri di Costo'!$A$2:$B$179,2,FALSE)</f>
        <v>Att. Ord. Valdastico - Gestione e Spese generali</v>
      </c>
      <c r="Q729" s="623" t="s">
        <v>2004</v>
      </c>
      <c r="R729" s="642" t="s">
        <v>99</v>
      </c>
    </row>
    <row r="730" spans="1:18" ht="28.5" customHeight="1" outlineLevel="2">
      <c r="A730" s="85" t="s">
        <v>308</v>
      </c>
      <c r="B730" s="402" t="s">
        <v>1871</v>
      </c>
      <c r="C730" s="85" t="s">
        <v>384</v>
      </c>
      <c r="D730" s="148" t="s">
        <v>7</v>
      </c>
      <c r="E730" s="87">
        <v>2018</v>
      </c>
      <c r="F730" s="88">
        <v>18</v>
      </c>
      <c r="G730" s="120" t="s">
        <v>447</v>
      </c>
      <c r="H730" s="581" t="s">
        <v>459</v>
      </c>
      <c r="I730" s="601">
        <v>4200</v>
      </c>
      <c r="J730" s="595" t="s">
        <v>35</v>
      </c>
      <c r="K730" s="91">
        <v>1</v>
      </c>
      <c r="L730" s="91">
        <v>3</v>
      </c>
      <c r="M730" s="92">
        <v>49</v>
      </c>
      <c r="N730" s="119" t="str">
        <f>VLOOKUP(M730,'PF Uscite Sp. Corr.'!$C$1:$E$100,2,FALSE)</f>
        <v>Manutenzione ordinaria e riparazioni</v>
      </c>
      <c r="O730" s="131">
        <v>2731</v>
      </c>
      <c r="P730" s="614" t="str">
        <f>VLOOKUP(O730,'Centri di Costo'!$A$2:$B$179,2,FALSE)</f>
        <v>Att. Ord. Valdastico - Gestione e Spese generali</v>
      </c>
      <c r="Q730" s="623" t="s">
        <v>2004</v>
      </c>
      <c r="R730" s="642" t="s">
        <v>93</v>
      </c>
    </row>
    <row r="731" spans="1:18" ht="28.5" customHeight="1" outlineLevel="2">
      <c r="A731" s="85" t="s">
        <v>308</v>
      </c>
      <c r="B731" s="402" t="s">
        <v>1871</v>
      </c>
      <c r="C731" s="85" t="s">
        <v>384</v>
      </c>
      <c r="D731" s="148" t="s">
        <v>7</v>
      </c>
      <c r="E731" s="87">
        <v>2018</v>
      </c>
      <c r="F731" s="88">
        <v>18</v>
      </c>
      <c r="G731" s="120" t="s">
        <v>447</v>
      </c>
      <c r="H731" s="581" t="s">
        <v>468</v>
      </c>
      <c r="I731" s="601">
        <v>300</v>
      </c>
      <c r="J731" s="595" t="s">
        <v>35</v>
      </c>
      <c r="K731" s="91">
        <v>1</v>
      </c>
      <c r="L731" s="91">
        <v>3</v>
      </c>
      <c r="M731" s="92">
        <v>49</v>
      </c>
      <c r="N731" s="119" t="str">
        <f>VLOOKUP(M731,'PF Uscite Sp. Corr.'!$C$1:$E$100,2,FALSE)</f>
        <v>Manutenzione ordinaria e riparazioni</v>
      </c>
      <c r="O731" s="131">
        <v>2731</v>
      </c>
      <c r="P731" s="614" t="str">
        <f>VLOOKUP(O731,'Centri di Costo'!$A$2:$B$179,2,FALSE)</f>
        <v>Att. Ord. Valdastico - Gestione e Spese generali</v>
      </c>
      <c r="Q731" s="623" t="s">
        <v>2004</v>
      </c>
      <c r="R731" s="642" t="s">
        <v>412</v>
      </c>
    </row>
    <row r="732" spans="1:18" ht="28.5" customHeight="1" outlineLevel="2">
      <c r="A732" s="85" t="s">
        <v>308</v>
      </c>
      <c r="B732" s="402" t="s">
        <v>1871</v>
      </c>
      <c r="C732" s="85" t="s">
        <v>384</v>
      </c>
      <c r="D732" s="148" t="s">
        <v>7</v>
      </c>
      <c r="E732" s="87">
        <v>2018</v>
      </c>
      <c r="F732" s="88">
        <v>18</v>
      </c>
      <c r="G732" s="120" t="s">
        <v>447</v>
      </c>
      <c r="H732" s="581" t="s">
        <v>455</v>
      </c>
      <c r="I732" s="601">
        <v>2000</v>
      </c>
      <c r="J732" s="595" t="s">
        <v>35</v>
      </c>
      <c r="K732" s="91">
        <v>1</v>
      </c>
      <c r="L732" s="91">
        <v>3</v>
      </c>
      <c r="M732" s="92">
        <v>51</v>
      </c>
      <c r="N732" s="119" t="str">
        <f>VLOOKUP(M732,'PF Uscite Sp. Corr.'!$C$1:$E$100,2,FALSE)</f>
        <v>Prestazioni professionali e specialistiche</v>
      </c>
      <c r="O732" s="131">
        <v>2731</v>
      </c>
      <c r="P732" s="614" t="str">
        <f>VLOOKUP(O732,'Centri di Costo'!$A$2:$B$179,2,FALSE)</f>
        <v>Att. Ord. Valdastico - Gestione e Spese generali</v>
      </c>
      <c r="Q732" s="623" t="s">
        <v>2004</v>
      </c>
      <c r="R732" s="642" t="s">
        <v>82</v>
      </c>
    </row>
    <row r="733" spans="1:18" ht="28.5" customHeight="1" outlineLevel="2">
      <c r="A733" s="85" t="s">
        <v>308</v>
      </c>
      <c r="B733" s="402" t="s">
        <v>1871</v>
      </c>
      <c r="C733" s="85" t="s">
        <v>384</v>
      </c>
      <c r="D733" s="148" t="s">
        <v>7</v>
      </c>
      <c r="E733" s="87">
        <v>2018</v>
      </c>
      <c r="F733" s="88">
        <v>18</v>
      </c>
      <c r="G733" s="120" t="s">
        <v>447</v>
      </c>
      <c r="H733" s="581" t="s">
        <v>456</v>
      </c>
      <c r="I733" s="601">
        <v>1000</v>
      </c>
      <c r="J733" s="595" t="s">
        <v>35</v>
      </c>
      <c r="K733" s="91">
        <v>1</v>
      </c>
      <c r="L733" s="91">
        <v>3</v>
      </c>
      <c r="M733" s="92">
        <v>51</v>
      </c>
      <c r="N733" s="119" t="str">
        <f>VLOOKUP(M733,'PF Uscite Sp. Corr.'!$C$1:$E$100,2,FALSE)</f>
        <v>Prestazioni professionali e specialistiche</v>
      </c>
      <c r="O733" s="131">
        <v>2731</v>
      </c>
      <c r="P733" s="614" t="str">
        <f>VLOOKUP(O733,'Centri di Costo'!$A$2:$B$179,2,FALSE)</f>
        <v>Att. Ord. Valdastico - Gestione e Spese generali</v>
      </c>
      <c r="Q733" s="619" t="s">
        <v>2029</v>
      </c>
      <c r="R733" s="642" t="s">
        <v>414</v>
      </c>
    </row>
    <row r="734" spans="1:18" ht="28.5" customHeight="1" outlineLevel="2">
      <c r="A734" s="85" t="s">
        <v>308</v>
      </c>
      <c r="B734" s="402" t="s">
        <v>1871</v>
      </c>
      <c r="C734" s="85" t="s">
        <v>384</v>
      </c>
      <c r="D734" s="148" t="s">
        <v>7</v>
      </c>
      <c r="E734" s="87">
        <v>2018</v>
      </c>
      <c r="F734" s="88">
        <v>18</v>
      </c>
      <c r="G734" s="120" t="s">
        <v>447</v>
      </c>
      <c r="H734" s="581" t="s">
        <v>451</v>
      </c>
      <c r="I734" s="601">
        <v>150</v>
      </c>
      <c r="J734" s="595" t="s">
        <v>35</v>
      </c>
      <c r="K734" s="91">
        <v>1</v>
      </c>
      <c r="L734" s="91">
        <v>3</v>
      </c>
      <c r="M734" s="92">
        <v>53</v>
      </c>
      <c r="N734" s="119" t="str">
        <f>VLOOKUP(M734,'PF Uscite Sp. Corr.'!$C$1:$E$100,2,FALSE)</f>
        <v>Servizi ausiliari per il funzionamento dell'ente</v>
      </c>
      <c r="O734" s="131">
        <v>2731</v>
      </c>
      <c r="P734" s="614" t="str">
        <f>VLOOKUP(O734,'Centri di Costo'!$A$2:$B$179,2,FALSE)</f>
        <v>Att. Ord. Valdastico - Gestione e Spese generali</v>
      </c>
      <c r="Q734" s="623" t="s">
        <v>2004</v>
      </c>
      <c r="R734" s="642" t="s">
        <v>55</v>
      </c>
    </row>
    <row r="735" spans="1:18" ht="28.5" customHeight="1" outlineLevel="2">
      <c r="A735" s="85" t="s">
        <v>308</v>
      </c>
      <c r="B735" s="402" t="s">
        <v>1871</v>
      </c>
      <c r="C735" s="85" t="s">
        <v>384</v>
      </c>
      <c r="D735" s="148" t="s">
        <v>7</v>
      </c>
      <c r="E735" s="87">
        <v>2018</v>
      </c>
      <c r="F735" s="88">
        <v>18</v>
      </c>
      <c r="G735" s="120" t="s">
        <v>447</v>
      </c>
      <c r="H735" s="581" t="s">
        <v>452</v>
      </c>
      <c r="I735" s="601">
        <v>430</v>
      </c>
      <c r="J735" s="595" t="s">
        <v>35</v>
      </c>
      <c r="K735" s="91">
        <v>1</v>
      </c>
      <c r="L735" s="91">
        <v>3</v>
      </c>
      <c r="M735" s="92">
        <v>53</v>
      </c>
      <c r="N735" s="119" t="str">
        <f>VLOOKUP(M735,'PF Uscite Sp. Corr.'!$C$1:$E$100,2,FALSE)</f>
        <v>Servizi ausiliari per il funzionamento dell'ente</v>
      </c>
      <c r="O735" s="131">
        <v>2731</v>
      </c>
      <c r="P735" s="614" t="str">
        <f>VLOOKUP(O735,'Centri di Costo'!$A$2:$B$179,2,FALSE)</f>
        <v>Att. Ord. Valdastico - Gestione e Spese generali</v>
      </c>
      <c r="Q735" s="623" t="s">
        <v>2004</v>
      </c>
      <c r="R735" s="642" t="s">
        <v>55</v>
      </c>
    </row>
    <row r="736" spans="1:18" ht="28.5" customHeight="1" outlineLevel="2">
      <c r="A736" s="85" t="s">
        <v>308</v>
      </c>
      <c r="B736" s="402" t="s">
        <v>1871</v>
      </c>
      <c r="C736" s="85" t="s">
        <v>384</v>
      </c>
      <c r="D736" s="148" t="s">
        <v>7</v>
      </c>
      <c r="E736" s="87">
        <v>2018</v>
      </c>
      <c r="F736" s="88">
        <v>18</v>
      </c>
      <c r="G736" s="120" t="s">
        <v>447</v>
      </c>
      <c r="H736" s="581" t="s">
        <v>453</v>
      </c>
      <c r="I736" s="601">
        <v>6800</v>
      </c>
      <c r="J736" s="595" t="s">
        <v>35</v>
      </c>
      <c r="K736" s="91">
        <v>1</v>
      </c>
      <c r="L736" s="91">
        <v>3</v>
      </c>
      <c r="M736" s="92">
        <v>53</v>
      </c>
      <c r="N736" s="119" t="str">
        <f>VLOOKUP(M736,'PF Uscite Sp. Corr.'!$C$1:$E$100,2,FALSE)</f>
        <v>Servizi ausiliari per il funzionamento dell'ente</v>
      </c>
      <c r="O736" s="131">
        <v>2731</v>
      </c>
      <c r="P736" s="614" t="str">
        <f>VLOOKUP(O736,'Centri di Costo'!$A$2:$B$179,2,FALSE)</f>
        <v>Att. Ord. Valdastico - Gestione e Spese generali</v>
      </c>
      <c r="Q736" s="623" t="s">
        <v>2004</v>
      </c>
      <c r="R736" s="642" t="s">
        <v>454</v>
      </c>
    </row>
    <row r="737" spans="1:18" ht="28.5" customHeight="1" outlineLevel="2">
      <c r="A737" s="85" t="s">
        <v>308</v>
      </c>
      <c r="B737" s="402" t="s">
        <v>1871</v>
      </c>
      <c r="C737" s="85" t="s">
        <v>384</v>
      </c>
      <c r="D737" s="148" t="s">
        <v>7</v>
      </c>
      <c r="E737" s="87">
        <v>2018</v>
      </c>
      <c r="F737" s="88">
        <v>18</v>
      </c>
      <c r="G737" s="120" t="s">
        <v>447</v>
      </c>
      <c r="H737" s="581" t="s">
        <v>460</v>
      </c>
      <c r="I737" s="601">
        <v>420</v>
      </c>
      <c r="J737" s="595" t="s">
        <v>35</v>
      </c>
      <c r="K737" s="91">
        <v>1</v>
      </c>
      <c r="L737" s="91">
        <v>3</v>
      </c>
      <c r="M737" s="92">
        <v>53</v>
      </c>
      <c r="N737" s="119" t="str">
        <f>VLOOKUP(M737,'PF Uscite Sp. Corr.'!$C$1:$E$100,2,FALSE)</f>
        <v>Servizi ausiliari per il funzionamento dell'ente</v>
      </c>
      <c r="O737" s="131">
        <v>2731</v>
      </c>
      <c r="P737" s="614" t="str">
        <f>VLOOKUP(O737,'Centri di Costo'!$A$2:$B$179,2,FALSE)</f>
        <v>Att. Ord. Valdastico - Gestione e Spese generali</v>
      </c>
      <c r="Q737" s="623" t="s">
        <v>2004</v>
      </c>
      <c r="R737" s="642" t="s">
        <v>55</v>
      </c>
    </row>
    <row r="738" spans="1:18" ht="28.5" customHeight="1" outlineLevel="2">
      <c r="A738" s="85" t="s">
        <v>308</v>
      </c>
      <c r="B738" s="402" t="s">
        <v>1871</v>
      </c>
      <c r="C738" s="85" t="s">
        <v>384</v>
      </c>
      <c r="D738" s="148" t="s">
        <v>7</v>
      </c>
      <c r="E738" s="87">
        <v>2018</v>
      </c>
      <c r="F738" s="88">
        <v>18</v>
      </c>
      <c r="G738" s="120" t="s">
        <v>447</v>
      </c>
      <c r="H738" s="581" t="s">
        <v>478</v>
      </c>
      <c r="I738" s="601">
        <v>250</v>
      </c>
      <c r="J738" s="595" t="s">
        <v>35</v>
      </c>
      <c r="K738" s="91">
        <v>1</v>
      </c>
      <c r="L738" s="91">
        <v>3</v>
      </c>
      <c r="M738" s="92">
        <v>53</v>
      </c>
      <c r="N738" s="119" t="str">
        <f>VLOOKUP(M738,'PF Uscite Sp. Corr.'!$C$1:$E$100,2,FALSE)</f>
        <v>Servizi ausiliari per il funzionamento dell'ente</v>
      </c>
      <c r="O738" s="131">
        <v>2731</v>
      </c>
      <c r="P738" s="614" t="str">
        <f>VLOOKUP(O738,'Centri di Costo'!$A$2:$B$179,2,FALSE)</f>
        <v>Att. Ord. Valdastico - Gestione e Spese generali</v>
      </c>
      <c r="Q738" s="623" t="s">
        <v>2004</v>
      </c>
      <c r="R738" s="642" t="s">
        <v>479</v>
      </c>
    </row>
    <row r="739" spans="1:18" ht="28.5" customHeight="1" outlineLevel="2">
      <c r="A739" s="85" t="s">
        <v>89</v>
      </c>
      <c r="B739" s="402" t="s">
        <v>1871</v>
      </c>
      <c r="C739" s="85" t="s">
        <v>233</v>
      </c>
      <c r="D739" s="148" t="s">
        <v>7</v>
      </c>
      <c r="E739" s="87">
        <v>2018</v>
      </c>
      <c r="F739" s="88">
        <v>274</v>
      </c>
      <c r="G739" s="120" t="s">
        <v>237</v>
      </c>
      <c r="H739" s="581" t="s">
        <v>247</v>
      </c>
      <c r="I739" s="601">
        <v>150</v>
      </c>
      <c r="J739" s="595" t="s">
        <v>35</v>
      </c>
      <c r="K739" s="91">
        <v>1</v>
      </c>
      <c r="L739" s="91">
        <v>3</v>
      </c>
      <c r="M739" s="92">
        <v>55</v>
      </c>
      <c r="N739" s="119" t="str">
        <f>VLOOKUP(M739,'PF Uscite Sp. Corr.'!$C$1:$E$100,2,FALSE)</f>
        <v>Altri servizi</v>
      </c>
      <c r="O739" s="131">
        <v>2731</v>
      </c>
      <c r="P739" s="614" t="str">
        <f>VLOOKUP(O739,'Centri di Costo'!$A$2:$B$179,2,FALSE)</f>
        <v>Att. Ord. Valdastico - Gestione e Spese generali</v>
      </c>
      <c r="Q739" s="623" t="s">
        <v>2004</v>
      </c>
      <c r="R739" s="642" t="s">
        <v>239</v>
      </c>
    </row>
    <row r="740" spans="1:18" ht="28.5" customHeight="1" outlineLevel="2">
      <c r="A740" s="85" t="s">
        <v>308</v>
      </c>
      <c r="B740" s="402" t="s">
        <v>1871</v>
      </c>
      <c r="C740" s="85" t="s">
        <v>384</v>
      </c>
      <c r="D740" s="148" t="s">
        <v>7</v>
      </c>
      <c r="E740" s="87">
        <v>2018</v>
      </c>
      <c r="F740" s="88">
        <v>18</v>
      </c>
      <c r="G740" s="120" t="s">
        <v>447</v>
      </c>
      <c r="H740" s="581" t="s">
        <v>172</v>
      </c>
      <c r="I740" s="601">
        <v>50</v>
      </c>
      <c r="J740" s="595" t="s">
        <v>35</v>
      </c>
      <c r="K740" s="91">
        <v>1</v>
      </c>
      <c r="L740" s="91">
        <v>3</v>
      </c>
      <c r="M740" s="92">
        <v>56</v>
      </c>
      <c r="N740" s="119" t="str">
        <f>VLOOKUP(M740,'PF Uscite Sp. Corr.'!$C$1:$E$100,2,FALSE)</f>
        <v>Servizi amministrativi</v>
      </c>
      <c r="O740" s="131">
        <v>2731</v>
      </c>
      <c r="P740" s="614" t="str">
        <f>VLOOKUP(O740,'Centri di Costo'!$A$2:$B$179,2,FALSE)</f>
        <v>Att. Ord. Valdastico - Gestione e Spese generali</v>
      </c>
      <c r="Q740" s="623" t="s">
        <v>2004</v>
      </c>
      <c r="R740" s="642" t="s">
        <v>173</v>
      </c>
    </row>
    <row r="741" spans="1:18" s="139" customFormat="1" ht="28.5" customHeight="1" outlineLevel="2">
      <c r="A741" s="115" t="s">
        <v>308</v>
      </c>
      <c r="B741" s="404" t="s">
        <v>1871</v>
      </c>
      <c r="C741" s="115" t="s">
        <v>384</v>
      </c>
      <c r="D741" s="417" t="s">
        <v>7</v>
      </c>
      <c r="E741" s="412">
        <v>2018</v>
      </c>
      <c r="F741" s="413">
        <v>18</v>
      </c>
      <c r="G741" s="123" t="s">
        <v>447</v>
      </c>
      <c r="H741" s="583" t="s">
        <v>485</v>
      </c>
      <c r="I741" s="603">
        <v>1200</v>
      </c>
      <c r="J741" s="596" t="s">
        <v>35</v>
      </c>
      <c r="K741" s="216">
        <v>1</v>
      </c>
      <c r="L741" s="216">
        <v>10</v>
      </c>
      <c r="M741" s="418">
        <v>86</v>
      </c>
      <c r="N741" s="118" t="str">
        <f>VLOOKUP(M741,'PF Uscite Sp. Corr.'!$C$1:$E$100,2,FALSE)</f>
        <v>Premi di assicurazione contro i danni</v>
      </c>
      <c r="O741" s="419">
        <v>2731</v>
      </c>
      <c r="P741" s="615" t="str">
        <f>VLOOKUP(O741,'Centri di Costo'!$A$2:$B$179,2,FALSE)</f>
        <v>Att. Ord. Valdastico - Gestione e Spese generali</v>
      </c>
      <c r="Q741" s="624" t="s">
        <v>2014</v>
      </c>
      <c r="R741" s="648" t="s">
        <v>56</v>
      </c>
    </row>
    <row r="742" spans="1:18" s="215" customFormat="1" ht="20.25" customHeight="1" outlineLevel="1" collapsed="1">
      <c r="A742" s="160"/>
      <c r="B742" s="433" t="s">
        <v>1909</v>
      </c>
      <c r="C742" s="161"/>
      <c r="D742" s="437"/>
      <c r="E742" s="438"/>
      <c r="F742" s="438"/>
      <c r="G742" s="441" t="s">
        <v>1938</v>
      </c>
      <c r="H742" s="214" t="s">
        <v>1958</v>
      </c>
      <c r="I742" s="605">
        <f>SUBTOTAL(9,I706:I741)</f>
        <v>372820</v>
      </c>
      <c r="J742" s="212"/>
      <c r="K742" s="179"/>
      <c r="L742" s="179"/>
      <c r="M742" s="213"/>
      <c r="N742" s="434"/>
      <c r="O742" s="439"/>
      <c r="P742" s="435"/>
      <c r="Q742" s="620"/>
      <c r="R742" s="645"/>
    </row>
    <row r="743" spans="1:18" ht="28.5" customHeight="1" outlineLevel="2">
      <c r="A743" s="94" t="s">
        <v>308</v>
      </c>
      <c r="B743" s="402" t="s">
        <v>1872</v>
      </c>
      <c r="C743" s="94" t="s">
        <v>384</v>
      </c>
      <c r="D743" s="149" t="s">
        <v>7</v>
      </c>
      <c r="E743" s="101">
        <v>2018</v>
      </c>
      <c r="F743" s="102">
        <v>31</v>
      </c>
      <c r="G743" s="121" t="s">
        <v>489</v>
      </c>
      <c r="H743" s="580" t="s">
        <v>1106</v>
      </c>
      <c r="I743" s="600">
        <v>150000</v>
      </c>
      <c r="J743" s="594" t="s">
        <v>36</v>
      </c>
      <c r="K743" s="99">
        <v>1</v>
      </c>
      <c r="L743" s="99">
        <v>1</v>
      </c>
      <c r="M743" s="209" t="s">
        <v>1532</v>
      </c>
      <c r="N743" s="577" t="str">
        <f>VLOOKUP(M743,'PF Uscite Sp. Corr.'!$C$1:$E$100,2,FALSE)</f>
        <v>Salari, Oneri Sociali, Acc. TFR, Buoni Pasto (e IRAP su retribuz. se dovuta) OTI</v>
      </c>
      <c r="O743" s="132">
        <v>1551</v>
      </c>
      <c r="P743" s="613" t="str">
        <f>VLOOKUP(O743,'Centri di Costo'!$A$2:$B$179,2,FALSE)</f>
        <v>Attività Ordinaria Bosco Nordio</v>
      </c>
      <c r="Q743" s="621" t="s">
        <v>1998</v>
      </c>
      <c r="R743" s="639" t="s">
        <v>427</v>
      </c>
    </row>
    <row r="744" spans="1:18" ht="28.5" customHeight="1" outlineLevel="2">
      <c r="A744" s="85" t="s">
        <v>308</v>
      </c>
      <c r="B744" s="400" t="s">
        <v>1872</v>
      </c>
      <c r="C744" s="85" t="s">
        <v>384</v>
      </c>
      <c r="D744" s="148" t="s">
        <v>7</v>
      </c>
      <c r="E744" s="87">
        <v>2018</v>
      </c>
      <c r="F744" s="88">
        <v>31</v>
      </c>
      <c r="G744" s="120" t="s">
        <v>489</v>
      </c>
      <c r="H744" s="581" t="s">
        <v>1107</v>
      </c>
      <c r="I744" s="601">
        <f>6740+2440+410+440+570</f>
        <v>10600</v>
      </c>
      <c r="J744" s="595" t="s">
        <v>36</v>
      </c>
      <c r="K744" s="91">
        <v>1</v>
      </c>
      <c r="L744" s="91">
        <v>1</v>
      </c>
      <c r="M744" s="232" t="s">
        <v>1530</v>
      </c>
      <c r="N744" s="578" t="str">
        <f>VLOOKUP(M744,'PF Uscite Sp. Corr.'!$C$1:$E$100,2,FALSE)</f>
        <v>Salari, Oneri Sociali, Acc. TFR, Buoni Pasto (e IRAP su retribuz. se dovuta) OTD</v>
      </c>
      <c r="O744" s="131">
        <v>1551</v>
      </c>
      <c r="P744" s="614" t="str">
        <f>VLOOKUP(O744,'Centri di Costo'!$A$2:$B$179,2,FALSE)</f>
        <v>Attività Ordinaria Bosco Nordio</v>
      </c>
      <c r="Q744" s="621" t="s">
        <v>1998</v>
      </c>
      <c r="R744" s="642" t="s">
        <v>484</v>
      </c>
    </row>
    <row r="745" spans="1:18" ht="28.5" customHeight="1" outlineLevel="2">
      <c r="A745" s="85" t="s">
        <v>308</v>
      </c>
      <c r="B745" s="400" t="s">
        <v>1872</v>
      </c>
      <c r="C745" s="85" t="s">
        <v>384</v>
      </c>
      <c r="D745" s="148" t="s">
        <v>7</v>
      </c>
      <c r="E745" s="87">
        <v>2018</v>
      </c>
      <c r="F745" s="88">
        <v>31</v>
      </c>
      <c r="G745" s="120" t="s">
        <v>489</v>
      </c>
      <c r="H745" s="581" t="s">
        <v>492</v>
      </c>
      <c r="I745" s="601">
        <v>50</v>
      </c>
      <c r="J745" s="595" t="s">
        <v>36</v>
      </c>
      <c r="K745" s="91">
        <v>1</v>
      </c>
      <c r="L745" s="91">
        <v>2</v>
      </c>
      <c r="M745" s="92">
        <v>19</v>
      </c>
      <c r="N745" s="119" t="str">
        <f>VLOOKUP(M745,'PF Uscite Sp. Corr.'!$C$1:$E$100,2,FALSE)</f>
        <v>Tassa di circolazione dei veicoli a motore (tassa automobilistica)</v>
      </c>
      <c r="O745" s="131">
        <v>1551</v>
      </c>
      <c r="P745" s="614" t="str">
        <f>VLOOKUP(O745,'Centri di Costo'!$A$2:$B$179,2,FALSE)</f>
        <v>Attività Ordinaria Bosco Nordio</v>
      </c>
      <c r="Q745" s="622" t="s">
        <v>1844</v>
      </c>
      <c r="R745" s="642" t="s">
        <v>132</v>
      </c>
    </row>
    <row r="746" spans="1:18" ht="28.5" customHeight="1" outlineLevel="2">
      <c r="A746" s="85" t="s">
        <v>308</v>
      </c>
      <c r="B746" s="400" t="s">
        <v>1872</v>
      </c>
      <c r="C746" s="85" t="s">
        <v>384</v>
      </c>
      <c r="D746" s="148" t="s">
        <v>7</v>
      </c>
      <c r="E746" s="87">
        <v>2018</v>
      </c>
      <c r="F746" s="88">
        <v>31</v>
      </c>
      <c r="G746" s="120" t="s">
        <v>489</v>
      </c>
      <c r="H746" s="581" t="s">
        <v>508</v>
      </c>
      <c r="I746" s="601">
        <v>2200</v>
      </c>
      <c r="J746" s="595" t="s">
        <v>36</v>
      </c>
      <c r="K746" s="91">
        <v>1</v>
      </c>
      <c r="L746" s="91">
        <v>2</v>
      </c>
      <c r="M746" s="92">
        <v>29</v>
      </c>
      <c r="N746" s="119" t="str">
        <f>VLOOKUP(M746,'PF Uscite Sp. Corr.'!$C$1:$E$100,2,FALSE)</f>
        <v>Imposte, tasse e proventi assimilati a carico dell'ente n.a.c.</v>
      </c>
      <c r="O746" s="131">
        <v>1551</v>
      </c>
      <c r="P746" s="614" t="str">
        <f>VLOOKUP(O746,'Centri di Costo'!$A$2:$B$179,2,FALSE)</f>
        <v>Attività Ordinaria Bosco Nordio</v>
      </c>
      <c r="Q746" s="622" t="s">
        <v>1844</v>
      </c>
      <c r="R746" s="642" t="s">
        <v>49</v>
      </c>
    </row>
    <row r="747" spans="1:18" ht="28.5" customHeight="1" outlineLevel="2">
      <c r="A747" s="85" t="s">
        <v>308</v>
      </c>
      <c r="B747" s="400" t="s">
        <v>1872</v>
      </c>
      <c r="C747" s="85" t="s">
        <v>384</v>
      </c>
      <c r="D747" s="148" t="s">
        <v>7</v>
      </c>
      <c r="E747" s="87">
        <v>2018</v>
      </c>
      <c r="F747" s="88">
        <v>31</v>
      </c>
      <c r="G747" s="120" t="s">
        <v>489</v>
      </c>
      <c r="H747" s="581" t="s">
        <v>491</v>
      </c>
      <c r="I747" s="601">
        <v>400</v>
      </c>
      <c r="J747" s="595" t="s">
        <v>36</v>
      </c>
      <c r="K747" s="91">
        <v>1</v>
      </c>
      <c r="L747" s="91">
        <v>3</v>
      </c>
      <c r="M747" s="92">
        <v>32</v>
      </c>
      <c r="N747" s="119" t="str">
        <f>VLOOKUP(M747,'PF Uscite Sp. Corr.'!$C$1:$E$100,2,FALSE)</f>
        <v>Altri beni di consumo</v>
      </c>
      <c r="O747" s="131">
        <v>1551</v>
      </c>
      <c r="P747" s="614" t="str">
        <f>VLOOKUP(O747,'Centri di Costo'!$A$2:$B$179,2,FALSE)</f>
        <v>Attività Ordinaria Bosco Nordio</v>
      </c>
      <c r="Q747" s="623" t="s">
        <v>2004</v>
      </c>
      <c r="R747" s="642" t="s">
        <v>434</v>
      </c>
    </row>
    <row r="748" spans="1:18" ht="28.5" customHeight="1" outlineLevel="2">
      <c r="A748" s="85" t="s">
        <v>308</v>
      </c>
      <c r="B748" s="400" t="s">
        <v>1872</v>
      </c>
      <c r="C748" s="85" t="s">
        <v>384</v>
      </c>
      <c r="D748" s="148" t="s">
        <v>7</v>
      </c>
      <c r="E748" s="87">
        <v>2018</v>
      </c>
      <c r="F748" s="88">
        <v>31</v>
      </c>
      <c r="G748" s="120" t="s">
        <v>489</v>
      </c>
      <c r="H748" s="581" t="s">
        <v>495</v>
      </c>
      <c r="I748" s="601">
        <v>2600</v>
      </c>
      <c r="J748" s="595" t="s">
        <v>36</v>
      </c>
      <c r="K748" s="91">
        <v>1</v>
      </c>
      <c r="L748" s="91">
        <v>3</v>
      </c>
      <c r="M748" s="92">
        <v>32</v>
      </c>
      <c r="N748" s="119" t="str">
        <f>VLOOKUP(M748,'PF Uscite Sp. Corr.'!$C$1:$E$100,2,FALSE)</f>
        <v>Altri beni di consumo</v>
      </c>
      <c r="O748" s="131">
        <v>1551</v>
      </c>
      <c r="P748" s="614" t="str">
        <f>VLOOKUP(O748,'Centri di Costo'!$A$2:$B$179,2,FALSE)</f>
        <v>Attività Ordinaria Bosco Nordio</v>
      </c>
      <c r="Q748" s="623" t="s">
        <v>2004</v>
      </c>
      <c r="R748" s="642" t="s">
        <v>73</v>
      </c>
    </row>
    <row r="749" spans="1:18" ht="28.5" customHeight="1" outlineLevel="2">
      <c r="A749" s="85" t="s">
        <v>308</v>
      </c>
      <c r="B749" s="400" t="s">
        <v>1872</v>
      </c>
      <c r="C749" s="85" t="s">
        <v>384</v>
      </c>
      <c r="D749" s="148" t="s">
        <v>7</v>
      </c>
      <c r="E749" s="87">
        <v>2018</v>
      </c>
      <c r="F749" s="88">
        <v>31</v>
      </c>
      <c r="G749" s="120" t="s">
        <v>489</v>
      </c>
      <c r="H749" s="581" t="s">
        <v>498</v>
      </c>
      <c r="I749" s="601">
        <v>650</v>
      </c>
      <c r="J749" s="595" t="s">
        <v>36</v>
      </c>
      <c r="K749" s="91">
        <v>1</v>
      </c>
      <c r="L749" s="91">
        <v>3</v>
      </c>
      <c r="M749" s="92">
        <v>32</v>
      </c>
      <c r="N749" s="119" t="str">
        <f>VLOOKUP(M749,'PF Uscite Sp. Corr.'!$C$1:$E$100,2,FALSE)</f>
        <v>Altri beni di consumo</v>
      </c>
      <c r="O749" s="131">
        <v>1551</v>
      </c>
      <c r="P749" s="614" t="str">
        <f>VLOOKUP(O749,'Centri di Costo'!$A$2:$B$179,2,FALSE)</f>
        <v>Attività Ordinaria Bosco Nordio</v>
      </c>
      <c r="Q749" s="623" t="s">
        <v>2004</v>
      </c>
      <c r="R749" s="642" t="s">
        <v>499</v>
      </c>
    </row>
    <row r="750" spans="1:18" ht="28.5" customHeight="1" outlineLevel="2">
      <c r="A750" s="85" t="s">
        <v>308</v>
      </c>
      <c r="B750" s="400" t="s">
        <v>1872</v>
      </c>
      <c r="C750" s="85" t="s">
        <v>384</v>
      </c>
      <c r="D750" s="148" t="s">
        <v>7</v>
      </c>
      <c r="E750" s="87">
        <v>2018</v>
      </c>
      <c r="F750" s="88">
        <v>31</v>
      </c>
      <c r="G750" s="120" t="s">
        <v>489</v>
      </c>
      <c r="H750" s="581" t="s">
        <v>365</v>
      </c>
      <c r="I750" s="601">
        <v>7500</v>
      </c>
      <c r="J750" s="595" t="s">
        <v>36</v>
      </c>
      <c r="K750" s="91">
        <v>1</v>
      </c>
      <c r="L750" s="91">
        <v>3</v>
      </c>
      <c r="M750" s="92">
        <v>32</v>
      </c>
      <c r="N750" s="119" t="str">
        <f>VLOOKUP(M750,'PF Uscite Sp. Corr.'!$C$1:$E$100,2,FALSE)</f>
        <v>Altri beni di consumo</v>
      </c>
      <c r="O750" s="131">
        <v>1551</v>
      </c>
      <c r="P750" s="614" t="str">
        <f>VLOOKUP(O750,'Centri di Costo'!$A$2:$B$179,2,FALSE)</f>
        <v>Attività Ordinaria Bosco Nordio</v>
      </c>
      <c r="Q750" s="623" t="s">
        <v>2004</v>
      </c>
      <c r="R750" s="642" t="s">
        <v>324</v>
      </c>
    </row>
    <row r="751" spans="1:18" ht="28.5" customHeight="1" outlineLevel="2">
      <c r="A751" s="85" t="s">
        <v>308</v>
      </c>
      <c r="B751" s="400" t="s">
        <v>1872</v>
      </c>
      <c r="C751" s="85" t="s">
        <v>384</v>
      </c>
      <c r="D751" s="148" t="s">
        <v>7</v>
      </c>
      <c r="E751" s="87">
        <v>2018</v>
      </c>
      <c r="F751" s="88">
        <v>31</v>
      </c>
      <c r="G751" s="120" t="s">
        <v>489</v>
      </c>
      <c r="H751" s="581" t="s">
        <v>1608</v>
      </c>
      <c r="I751" s="601">
        <v>1000</v>
      </c>
      <c r="J751" s="595" t="s">
        <v>36</v>
      </c>
      <c r="K751" s="91">
        <v>1</v>
      </c>
      <c r="L751" s="91">
        <v>3</v>
      </c>
      <c r="M751" s="92">
        <v>42</v>
      </c>
      <c r="N751" s="119" t="str">
        <f>VLOOKUP(M751,'PF Uscite Sp. Corr.'!$C$1:$E$100,2,FALSE)</f>
        <v>Rimborso viaggio e Indennità di missione e trasferta</v>
      </c>
      <c r="O751" s="131">
        <v>1551</v>
      </c>
      <c r="P751" s="614" t="str">
        <f>VLOOKUP(O751,'Centri di Costo'!$A$2:$B$179,2,FALSE)</f>
        <v>Attività Ordinaria Bosco Nordio</v>
      </c>
      <c r="Q751" s="623" t="s">
        <v>2004</v>
      </c>
      <c r="R751" s="642"/>
    </row>
    <row r="752" spans="1:18" ht="28.5" customHeight="1" outlineLevel="2">
      <c r="A752" s="85" t="s">
        <v>308</v>
      </c>
      <c r="B752" s="400" t="s">
        <v>1872</v>
      </c>
      <c r="C752" s="85" t="s">
        <v>384</v>
      </c>
      <c r="D752" s="148" t="s">
        <v>7</v>
      </c>
      <c r="E752" s="87">
        <v>2018</v>
      </c>
      <c r="F752" s="88">
        <v>31</v>
      </c>
      <c r="G752" s="120" t="s">
        <v>489</v>
      </c>
      <c r="H752" s="581" t="s">
        <v>500</v>
      </c>
      <c r="I752" s="601">
        <v>250</v>
      </c>
      <c r="J752" s="595" t="s">
        <v>36</v>
      </c>
      <c r="K752" s="91">
        <v>1</v>
      </c>
      <c r="L752" s="91">
        <v>3</v>
      </c>
      <c r="M752" s="92">
        <v>45</v>
      </c>
      <c r="N752" s="119" t="str">
        <f>VLOOKUP(M752,'PF Uscite Sp. Corr.'!$C$1:$E$100,2,FALSE)</f>
        <v>Utenze e canoni</v>
      </c>
      <c r="O752" s="131">
        <v>1551</v>
      </c>
      <c r="P752" s="614" t="str">
        <f>VLOOKUP(O752,'Centri di Costo'!$A$2:$B$179,2,FALSE)</f>
        <v>Attività Ordinaria Bosco Nordio</v>
      </c>
      <c r="Q752" s="624" t="s">
        <v>2014</v>
      </c>
      <c r="R752" s="642" t="s">
        <v>65</v>
      </c>
    </row>
    <row r="753" spans="1:18" ht="28.5" customHeight="1" outlineLevel="2">
      <c r="A753" s="85" t="s">
        <v>308</v>
      </c>
      <c r="B753" s="400" t="s">
        <v>1872</v>
      </c>
      <c r="C753" s="85" t="s">
        <v>384</v>
      </c>
      <c r="D753" s="148" t="s">
        <v>7</v>
      </c>
      <c r="E753" s="87">
        <v>2018</v>
      </c>
      <c r="F753" s="88">
        <v>31</v>
      </c>
      <c r="G753" s="120" t="s">
        <v>489</v>
      </c>
      <c r="H753" s="581" t="s">
        <v>57</v>
      </c>
      <c r="I753" s="601">
        <v>1000</v>
      </c>
      <c r="J753" s="595" t="s">
        <v>36</v>
      </c>
      <c r="K753" s="91">
        <v>1</v>
      </c>
      <c r="L753" s="91">
        <v>3</v>
      </c>
      <c r="M753" s="92">
        <v>45</v>
      </c>
      <c r="N753" s="119" t="str">
        <f>VLOOKUP(M753,'PF Uscite Sp. Corr.'!$C$1:$E$100,2,FALSE)</f>
        <v>Utenze e canoni</v>
      </c>
      <c r="O753" s="131">
        <v>1551</v>
      </c>
      <c r="P753" s="614" t="str">
        <f>VLOOKUP(O753,'Centri di Costo'!$A$2:$B$179,2,FALSE)</f>
        <v>Attività Ordinaria Bosco Nordio</v>
      </c>
      <c r="Q753" s="624" t="s">
        <v>2014</v>
      </c>
      <c r="R753" s="642" t="s">
        <v>58</v>
      </c>
    </row>
    <row r="754" spans="1:18" ht="28.5" customHeight="1" outlineLevel="2">
      <c r="A754" s="85" t="s">
        <v>308</v>
      </c>
      <c r="B754" s="400" t="s">
        <v>1872</v>
      </c>
      <c r="C754" s="85" t="s">
        <v>384</v>
      </c>
      <c r="D754" s="148" t="s">
        <v>7</v>
      </c>
      <c r="E754" s="87">
        <v>2018</v>
      </c>
      <c r="F754" s="88">
        <v>31</v>
      </c>
      <c r="G754" s="120" t="s">
        <v>489</v>
      </c>
      <c r="H754" s="581" t="s">
        <v>66</v>
      </c>
      <c r="I754" s="601">
        <v>1550</v>
      </c>
      <c r="J754" s="595" t="s">
        <v>36</v>
      </c>
      <c r="K754" s="91">
        <v>1</v>
      </c>
      <c r="L754" s="91">
        <v>3</v>
      </c>
      <c r="M754" s="92">
        <v>45</v>
      </c>
      <c r="N754" s="119" t="str">
        <f>VLOOKUP(M754,'PF Uscite Sp. Corr.'!$C$1:$E$100,2,FALSE)</f>
        <v>Utenze e canoni</v>
      </c>
      <c r="O754" s="131">
        <v>1551</v>
      </c>
      <c r="P754" s="614" t="str">
        <f>VLOOKUP(O754,'Centri di Costo'!$A$2:$B$179,2,FALSE)</f>
        <v>Attività Ordinaria Bosco Nordio</v>
      </c>
      <c r="Q754" s="623" t="s">
        <v>2004</v>
      </c>
      <c r="R754" s="642" t="s">
        <v>67</v>
      </c>
    </row>
    <row r="755" spans="1:18" ht="28.5" customHeight="1" outlineLevel="2">
      <c r="A755" s="85" t="s">
        <v>308</v>
      </c>
      <c r="B755" s="400" t="s">
        <v>1872</v>
      </c>
      <c r="C755" s="85" t="s">
        <v>384</v>
      </c>
      <c r="D755" s="148" t="s">
        <v>7</v>
      </c>
      <c r="E755" s="87">
        <v>2018</v>
      </c>
      <c r="F755" s="88">
        <v>31</v>
      </c>
      <c r="G755" s="120" t="s">
        <v>489</v>
      </c>
      <c r="H755" s="581" t="s">
        <v>490</v>
      </c>
      <c r="I755" s="601">
        <v>500</v>
      </c>
      <c r="J755" s="595" t="s">
        <v>36</v>
      </c>
      <c r="K755" s="91">
        <v>1</v>
      </c>
      <c r="L755" s="91">
        <v>3</v>
      </c>
      <c r="M755" s="92">
        <v>47</v>
      </c>
      <c r="N755" s="119" t="str">
        <f>VLOOKUP(M755,'PF Uscite Sp. Corr.'!$C$1:$E$100,2,FALSE)</f>
        <v>Utilizzo di beni di terzi</v>
      </c>
      <c r="O755" s="131">
        <v>1551</v>
      </c>
      <c r="P755" s="614" t="str">
        <f>VLOOKUP(O755,'Centri di Costo'!$A$2:$B$179,2,FALSE)</f>
        <v>Attività Ordinaria Bosco Nordio</v>
      </c>
      <c r="Q755" s="623" t="s">
        <v>2004</v>
      </c>
      <c r="R755" s="642" t="s">
        <v>356</v>
      </c>
    </row>
    <row r="756" spans="1:18" ht="28.5" customHeight="1" outlineLevel="2">
      <c r="A756" s="85" t="s">
        <v>308</v>
      </c>
      <c r="B756" s="400" t="s">
        <v>1872</v>
      </c>
      <c r="C756" s="85" t="s">
        <v>384</v>
      </c>
      <c r="D756" s="148" t="s">
        <v>7</v>
      </c>
      <c r="E756" s="87">
        <v>2018</v>
      </c>
      <c r="F756" s="88">
        <v>31</v>
      </c>
      <c r="G756" s="120" t="s">
        <v>489</v>
      </c>
      <c r="H756" s="581" t="s">
        <v>493</v>
      </c>
      <c r="I756" s="601">
        <v>2000</v>
      </c>
      <c r="J756" s="595" t="s">
        <v>36</v>
      </c>
      <c r="K756" s="91">
        <v>1</v>
      </c>
      <c r="L756" s="91">
        <v>3</v>
      </c>
      <c r="M756" s="92">
        <v>49</v>
      </c>
      <c r="N756" s="119" t="str">
        <f>VLOOKUP(M756,'PF Uscite Sp. Corr.'!$C$1:$E$100,2,FALSE)</f>
        <v>Manutenzione ordinaria e riparazioni</v>
      </c>
      <c r="O756" s="131">
        <v>1551</v>
      </c>
      <c r="P756" s="614" t="str">
        <f>VLOOKUP(O756,'Centri di Costo'!$A$2:$B$179,2,FALSE)</f>
        <v>Attività Ordinaria Bosco Nordio</v>
      </c>
      <c r="Q756" s="623" t="s">
        <v>2004</v>
      </c>
      <c r="R756" s="642" t="s">
        <v>494</v>
      </c>
    </row>
    <row r="757" spans="1:18" ht="28.5" customHeight="1" outlineLevel="2">
      <c r="A757" s="85" t="s">
        <v>308</v>
      </c>
      <c r="B757" s="400" t="s">
        <v>1872</v>
      </c>
      <c r="C757" s="85" t="s">
        <v>384</v>
      </c>
      <c r="D757" s="148" t="s">
        <v>7</v>
      </c>
      <c r="E757" s="87">
        <v>2018</v>
      </c>
      <c r="F757" s="88">
        <v>31</v>
      </c>
      <c r="G757" s="120" t="s">
        <v>489</v>
      </c>
      <c r="H757" s="581" t="s">
        <v>496</v>
      </c>
      <c r="I757" s="601">
        <v>200</v>
      </c>
      <c r="J757" s="595" t="s">
        <v>36</v>
      </c>
      <c r="K757" s="91">
        <v>1</v>
      </c>
      <c r="L757" s="91">
        <v>3</v>
      </c>
      <c r="M757" s="92">
        <v>49</v>
      </c>
      <c r="N757" s="119" t="str">
        <f>VLOOKUP(M757,'PF Uscite Sp. Corr.'!$C$1:$E$100,2,FALSE)</f>
        <v>Manutenzione ordinaria e riparazioni</v>
      </c>
      <c r="O757" s="131">
        <v>1551</v>
      </c>
      <c r="P757" s="614" t="str">
        <f>VLOOKUP(O757,'Centri di Costo'!$A$2:$B$179,2,FALSE)</f>
        <v>Attività Ordinaria Bosco Nordio</v>
      </c>
      <c r="Q757" s="623" t="s">
        <v>2004</v>
      </c>
      <c r="R757" s="642" t="s">
        <v>497</v>
      </c>
    </row>
    <row r="758" spans="1:18" ht="28.5" customHeight="1" outlineLevel="2">
      <c r="A758" s="85" t="s">
        <v>308</v>
      </c>
      <c r="B758" s="400" t="s">
        <v>1872</v>
      </c>
      <c r="C758" s="85" t="s">
        <v>384</v>
      </c>
      <c r="D758" s="148" t="s">
        <v>7</v>
      </c>
      <c r="E758" s="87">
        <v>2018</v>
      </c>
      <c r="F758" s="88">
        <v>31</v>
      </c>
      <c r="G758" s="120" t="s">
        <v>489</v>
      </c>
      <c r="H758" s="581" t="s">
        <v>501</v>
      </c>
      <c r="I758" s="601">
        <v>800</v>
      </c>
      <c r="J758" s="595" t="s">
        <v>36</v>
      </c>
      <c r="K758" s="91">
        <v>1</v>
      </c>
      <c r="L758" s="91">
        <v>3</v>
      </c>
      <c r="M758" s="92">
        <v>49</v>
      </c>
      <c r="N758" s="119" t="str">
        <f>VLOOKUP(M758,'PF Uscite Sp. Corr.'!$C$1:$E$100,2,FALSE)</f>
        <v>Manutenzione ordinaria e riparazioni</v>
      </c>
      <c r="O758" s="131">
        <v>1551</v>
      </c>
      <c r="P758" s="614" t="str">
        <f>VLOOKUP(O758,'Centri di Costo'!$A$2:$B$179,2,FALSE)</f>
        <v>Attività Ordinaria Bosco Nordio</v>
      </c>
      <c r="Q758" s="623" t="s">
        <v>2004</v>
      </c>
      <c r="R758" s="642" t="s">
        <v>502</v>
      </c>
    </row>
    <row r="759" spans="1:18" ht="28.5" customHeight="1" outlineLevel="2">
      <c r="A759" s="85" t="s">
        <v>308</v>
      </c>
      <c r="B759" s="400" t="s">
        <v>1872</v>
      </c>
      <c r="C759" s="85" t="s">
        <v>384</v>
      </c>
      <c r="D759" s="148" t="s">
        <v>7</v>
      </c>
      <c r="E759" s="87">
        <v>2018</v>
      </c>
      <c r="F759" s="88">
        <v>31</v>
      </c>
      <c r="G759" s="120" t="s">
        <v>489</v>
      </c>
      <c r="H759" s="581" t="s">
        <v>503</v>
      </c>
      <c r="I759" s="601">
        <v>1050</v>
      </c>
      <c r="J759" s="595" t="s">
        <v>36</v>
      </c>
      <c r="K759" s="91">
        <v>1</v>
      </c>
      <c r="L759" s="91">
        <v>3</v>
      </c>
      <c r="M759" s="92">
        <v>51</v>
      </c>
      <c r="N759" s="119" t="str">
        <f>VLOOKUP(M759,'PF Uscite Sp. Corr.'!$C$1:$E$100,2,FALSE)</f>
        <v>Prestazioni professionali e specialistiche</v>
      </c>
      <c r="O759" s="131">
        <v>1551</v>
      </c>
      <c r="P759" s="614" t="str">
        <f>VLOOKUP(O759,'Centri di Costo'!$A$2:$B$179,2,FALSE)</f>
        <v>Attività Ordinaria Bosco Nordio</v>
      </c>
      <c r="Q759" s="619" t="s">
        <v>2029</v>
      </c>
      <c r="R759" s="642" t="s">
        <v>504</v>
      </c>
    </row>
    <row r="760" spans="1:18" ht="28.5" customHeight="1" outlineLevel="2">
      <c r="A760" s="85" t="s">
        <v>308</v>
      </c>
      <c r="B760" s="400" t="s">
        <v>1872</v>
      </c>
      <c r="C760" s="85" t="s">
        <v>384</v>
      </c>
      <c r="D760" s="148" t="s">
        <v>7</v>
      </c>
      <c r="E760" s="87">
        <v>2018</v>
      </c>
      <c r="F760" s="88">
        <v>31</v>
      </c>
      <c r="G760" s="120" t="s">
        <v>489</v>
      </c>
      <c r="H760" s="581" t="s">
        <v>505</v>
      </c>
      <c r="I760" s="601">
        <v>2000</v>
      </c>
      <c r="J760" s="595" t="s">
        <v>36</v>
      </c>
      <c r="K760" s="91">
        <v>1</v>
      </c>
      <c r="L760" s="91">
        <v>3</v>
      </c>
      <c r="M760" s="92">
        <v>51</v>
      </c>
      <c r="N760" s="119" t="str">
        <f>VLOOKUP(M760,'PF Uscite Sp. Corr.'!$C$1:$E$100,2,FALSE)</f>
        <v>Prestazioni professionali e specialistiche</v>
      </c>
      <c r="O760" s="131">
        <v>1551</v>
      </c>
      <c r="P760" s="614" t="str">
        <f>VLOOKUP(O760,'Centri di Costo'!$A$2:$B$179,2,FALSE)</f>
        <v>Attività Ordinaria Bosco Nordio</v>
      </c>
      <c r="Q760" s="623" t="s">
        <v>2004</v>
      </c>
      <c r="R760" s="642" t="s">
        <v>87</v>
      </c>
    </row>
    <row r="761" spans="1:18" s="139" customFormat="1" ht="28.5" customHeight="1" outlineLevel="2">
      <c r="A761" s="115" t="s">
        <v>308</v>
      </c>
      <c r="B761" s="401" t="s">
        <v>1872</v>
      </c>
      <c r="C761" s="115" t="s">
        <v>384</v>
      </c>
      <c r="D761" s="417" t="s">
        <v>7</v>
      </c>
      <c r="E761" s="412">
        <v>2018</v>
      </c>
      <c r="F761" s="413">
        <v>31</v>
      </c>
      <c r="G761" s="123" t="s">
        <v>489</v>
      </c>
      <c r="H761" s="583" t="s">
        <v>506</v>
      </c>
      <c r="I761" s="603">
        <v>1200</v>
      </c>
      <c r="J761" s="596" t="s">
        <v>36</v>
      </c>
      <c r="K761" s="216">
        <v>1</v>
      </c>
      <c r="L761" s="216">
        <v>3</v>
      </c>
      <c r="M761" s="418">
        <v>55</v>
      </c>
      <c r="N761" s="118" t="str">
        <f>VLOOKUP(M761,'PF Uscite Sp. Corr.'!$C$1:$E$100,2,FALSE)</f>
        <v>Altri servizi</v>
      </c>
      <c r="O761" s="419">
        <v>1551</v>
      </c>
      <c r="P761" s="615" t="str">
        <f>VLOOKUP(O761,'Centri di Costo'!$A$2:$B$179,2,FALSE)</f>
        <v>Attività Ordinaria Bosco Nordio</v>
      </c>
      <c r="Q761" s="623" t="s">
        <v>2004</v>
      </c>
      <c r="R761" s="648" t="s">
        <v>507</v>
      </c>
    </row>
    <row r="762" spans="1:18" s="215" customFormat="1" ht="20.25" customHeight="1" outlineLevel="1" collapsed="1">
      <c r="A762" s="160"/>
      <c r="B762" s="433" t="s">
        <v>1910</v>
      </c>
      <c r="C762" s="161"/>
      <c r="D762" s="437"/>
      <c r="E762" s="438"/>
      <c r="F762" s="438"/>
      <c r="G762" s="441" t="s">
        <v>1938</v>
      </c>
      <c r="H762" s="214" t="str">
        <f>G761</f>
        <v>Gestione Riserva Naturale Integrale Bosco Nordio 2018</v>
      </c>
      <c r="I762" s="605">
        <f>SUBTOTAL(9,I743:I761)</f>
        <v>185550</v>
      </c>
      <c r="J762" s="212"/>
      <c r="K762" s="179"/>
      <c r="L762" s="179"/>
      <c r="M762" s="213"/>
      <c r="N762" s="434"/>
      <c r="O762" s="439"/>
      <c r="P762" s="435"/>
      <c r="Q762" s="620"/>
      <c r="R762" s="645"/>
    </row>
    <row r="763" spans="1:18" s="139" customFormat="1" ht="28.5" customHeight="1" outlineLevel="2">
      <c r="A763" s="396" t="s">
        <v>308</v>
      </c>
      <c r="B763" s="404" t="s">
        <v>1873</v>
      </c>
      <c r="C763" s="396" t="s">
        <v>384</v>
      </c>
      <c r="D763" s="421" t="s">
        <v>7</v>
      </c>
      <c r="E763" s="422">
        <v>2018</v>
      </c>
      <c r="F763" s="423">
        <v>68</v>
      </c>
      <c r="G763" s="208" t="s">
        <v>509</v>
      </c>
      <c r="H763" s="584" t="s">
        <v>1345</v>
      </c>
      <c r="I763" s="604">
        <v>20000</v>
      </c>
      <c r="J763" s="597" t="s">
        <v>36</v>
      </c>
      <c r="K763" s="248">
        <v>1</v>
      </c>
      <c r="L763" s="248">
        <v>3</v>
      </c>
      <c r="M763" s="249">
        <v>53</v>
      </c>
      <c r="N763" s="415" t="str">
        <f>VLOOKUP(M763,'PF Uscite Sp. Corr.'!$C$1:$E$100,2,FALSE)</f>
        <v>Servizi ausiliari per il funzionamento dell'ente</v>
      </c>
      <c r="O763" s="424">
        <v>1552</v>
      </c>
      <c r="P763" s="616" t="str">
        <f>VLOOKUP(O763,'Centri di Costo'!$A$2:$B$179,2,FALSE)</f>
        <v>Att. Ord. Ca'Mello e Riserva Naturale Bocche di Po</v>
      </c>
      <c r="Q763" s="623" t="s">
        <v>2004</v>
      </c>
      <c r="R763" s="646" t="s">
        <v>78</v>
      </c>
    </row>
    <row r="764" spans="1:18" s="215" customFormat="1" ht="27" customHeight="1" outlineLevel="1" collapsed="1">
      <c r="A764" s="160"/>
      <c r="B764" s="433" t="s">
        <v>1911</v>
      </c>
      <c r="C764" s="161"/>
      <c r="D764" s="437"/>
      <c r="E764" s="438"/>
      <c r="F764" s="438"/>
      <c r="G764" s="441" t="s">
        <v>1938</v>
      </c>
      <c r="H764" s="214" t="str">
        <f>G763</f>
        <v>Gestione Oasi di Ca' Mello e Riserva Naturale Bocche di Po 2018</v>
      </c>
      <c r="I764" s="605">
        <f>SUBTOTAL(9,I763:I763)</f>
        <v>20000</v>
      </c>
      <c r="J764" s="212"/>
      <c r="K764" s="179"/>
      <c r="L764" s="179"/>
      <c r="M764" s="213"/>
      <c r="N764" s="434"/>
      <c r="O764" s="439"/>
      <c r="P764" s="435"/>
      <c r="Q764" s="620"/>
      <c r="R764" s="645"/>
    </row>
    <row r="765" spans="1:18" ht="28.5" customHeight="1" outlineLevel="2">
      <c r="A765" s="94" t="s">
        <v>308</v>
      </c>
      <c r="B765" s="402" t="s">
        <v>1874</v>
      </c>
      <c r="C765" s="94" t="s">
        <v>384</v>
      </c>
      <c r="D765" s="149" t="s">
        <v>7</v>
      </c>
      <c r="E765" s="101">
        <v>2018</v>
      </c>
      <c r="F765" s="102">
        <v>70</v>
      </c>
      <c r="G765" s="121" t="s">
        <v>510</v>
      </c>
      <c r="H765" s="580" t="s">
        <v>522</v>
      </c>
      <c r="I765" s="600">
        <v>1600</v>
      </c>
      <c r="J765" s="594" t="s">
        <v>36</v>
      </c>
      <c r="K765" s="99">
        <v>1</v>
      </c>
      <c r="L765" s="99">
        <v>2</v>
      </c>
      <c r="M765" s="113">
        <v>16</v>
      </c>
      <c r="N765" s="128" t="str">
        <f>VLOOKUP(M765,'PF Uscite Sp. Corr.'!$C$1:$E$100,2,FALSE)</f>
        <v>Tassa e/o tariffa smaltimento rifiuti solidi urbani</v>
      </c>
      <c r="O765" s="132">
        <v>2524</v>
      </c>
      <c r="P765" s="613" t="str">
        <f>VLOOKUP(O765,'Centri di Costo'!$A$2:$B$179,2,FALSE)</f>
        <v>Att. Ord. Ed. Nat. MAV, Foresteria e Casone - Vallevecchia (per il 2018)</v>
      </c>
      <c r="Q765" s="622" t="s">
        <v>1844</v>
      </c>
      <c r="R765" s="639" t="s">
        <v>523</v>
      </c>
    </row>
    <row r="766" spans="1:18" ht="28.5" customHeight="1" outlineLevel="2">
      <c r="A766" s="85" t="s">
        <v>308</v>
      </c>
      <c r="B766" s="402" t="s">
        <v>1874</v>
      </c>
      <c r="C766" s="85" t="s">
        <v>384</v>
      </c>
      <c r="D766" s="148" t="s">
        <v>7</v>
      </c>
      <c r="E766" s="87">
        <v>2018</v>
      </c>
      <c r="F766" s="88">
        <v>70</v>
      </c>
      <c r="G766" s="120" t="s">
        <v>510</v>
      </c>
      <c r="H766" s="581" t="s">
        <v>515</v>
      </c>
      <c r="I766" s="601">
        <v>1150</v>
      </c>
      <c r="J766" s="595" t="s">
        <v>36</v>
      </c>
      <c r="K766" s="91">
        <v>1</v>
      </c>
      <c r="L766" s="91">
        <v>3</v>
      </c>
      <c r="M766" s="92">
        <v>32</v>
      </c>
      <c r="N766" s="119" t="str">
        <f>VLOOKUP(M766,'PF Uscite Sp. Corr.'!$C$1:$E$100,2,FALSE)</f>
        <v>Altri beni di consumo</v>
      </c>
      <c r="O766" s="131">
        <v>2524</v>
      </c>
      <c r="P766" s="614" t="str">
        <f>VLOOKUP(O766,'Centri di Costo'!$A$2:$B$179,2,FALSE)</f>
        <v>Att. Ord. Ed. Nat. MAV, Foresteria e Casone - Vallevecchia (per il 2018)</v>
      </c>
      <c r="Q766" s="623" t="s">
        <v>2004</v>
      </c>
      <c r="R766" s="642" t="s">
        <v>516</v>
      </c>
    </row>
    <row r="767" spans="1:18" ht="28.5" customHeight="1" outlineLevel="2">
      <c r="A767" s="85" t="s">
        <v>308</v>
      </c>
      <c r="B767" s="402" t="s">
        <v>1874</v>
      </c>
      <c r="C767" s="85" t="s">
        <v>384</v>
      </c>
      <c r="D767" s="148" t="s">
        <v>7</v>
      </c>
      <c r="E767" s="87">
        <v>2018</v>
      </c>
      <c r="F767" s="88">
        <v>70</v>
      </c>
      <c r="G767" s="120" t="s">
        <v>510</v>
      </c>
      <c r="H767" s="581" t="s">
        <v>66</v>
      </c>
      <c r="I767" s="601">
        <v>1000</v>
      </c>
      <c r="J767" s="595" t="s">
        <v>36</v>
      </c>
      <c r="K767" s="91">
        <v>1</v>
      </c>
      <c r="L767" s="91">
        <v>3</v>
      </c>
      <c r="M767" s="92">
        <v>45</v>
      </c>
      <c r="N767" s="119" t="str">
        <f>VLOOKUP(M767,'PF Uscite Sp. Corr.'!$C$1:$E$100,2,FALSE)</f>
        <v>Utenze e canoni</v>
      </c>
      <c r="O767" s="131">
        <v>2524</v>
      </c>
      <c r="P767" s="614" t="str">
        <f>VLOOKUP(O767,'Centri di Costo'!$A$2:$B$179,2,FALSE)</f>
        <v>Att. Ord. Ed. Nat. MAV, Foresteria e Casone - Vallevecchia (per il 2018)</v>
      </c>
      <c r="Q767" s="623" t="s">
        <v>2004</v>
      </c>
      <c r="R767" s="642" t="s">
        <v>513</v>
      </c>
    </row>
    <row r="768" spans="1:18" ht="28.5" customHeight="1" outlineLevel="2">
      <c r="A768" s="85" t="s">
        <v>308</v>
      </c>
      <c r="B768" s="402" t="s">
        <v>1874</v>
      </c>
      <c r="C768" s="85" t="s">
        <v>384</v>
      </c>
      <c r="D768" s="148" t="s">
        <v>7</v>
      </c>
      <c r="E768" s="87">
        <v>2018</v>
      </c>
      <c r="F768" s="88">
        <v>70</v>
      </c>
      <c r="G768" s="120" t="s">
        <v>510</v>
      </c>
      <c r="H768" s="581" t="s">
        <v>57</v>
      </c>
      <c r="I768" s="601">
        <v>2700</v>
      </c>
      <c r="J768" s="595" t="s">
        <v>36</v>
      </c>
      <c r="K768" s="91">
        <v>1</v>
      </c>
      <c r="L768" s="91">
        <v>3</v>
      </c>
      <c r="M768" s="92">
        <v>45</v>
      </c>
      <c r="N768" s="119" t="str">
        <f>VLOOKUP(M768,'PF Uscite Sp. Corr.'!$C$1:$E$100,2,FALSE)</f>
        <v>Utenze e canoni</v>
      </c>
      <c r="O768" s="131">
        <v>2524</v>
      </c>
      <c r="P768" s="614" t="str">
        <f>VLOOKUP(O768,'Centri di Costo'!$A$2:$B$179,2,FALSE)</f>
        <v>Att. Ord. Ed. Nat. MAV, Foresteria e Casone - Vallevecchia (per il 2018)</v>
      </c>
      <c r="Q768" s="624" t="s">
        <v>2014</v>
      </c>
      <c r="R768" s="642" t="s">
        <v>514</v>
      </c>
    </row>
    <row r="769" spans="1:18" ht="28.5" customHeight="1" outlineLevel="2">
      <c r="A769" s="85" t="s">
        <v>308</v>
      </c>
      <c r="B769" s="402" t="s">
        <v>1874</v>
      </c>
      <c r="C769" s="85" t="s">
        <v>384</v>
      </c>
      <c r="D769" s="148" t="s">
        <v>7</v>
      </c>
      <c r="E769" s="87">
        <v>2018</v>
      </c>
      <c r="F769" s="88">
        <v>70</v>
      </c>
      <c r="G769" s="120" t="s">
        <v>510</v>
      </c>
      <c r="H769" s="581" t="s">
        <v>518</v>
      </c>
      <c r="I769" s="601">
        <v>450</v>
      </c>
      <c r="J769" s="595" t="s">
        <v>36</v>
      </c>
      <c r="K769" s="91">
        <v>1</v>
      </c>
      <c r="L769" s="91">
        <v>3</v>
      </c>
      <c r="M769" s="92">
        <v>45</v>
      </c>
      <c r="N769" s="119" t="str">
        <f>VLOOKUP(M769,'PF Uscite Sp. Corr.'!$C$1:$E$100,2,FALSE)</f>
        <v>Utenze e canoni</v>
      </c>
      <c r="O769" s="131">
        <v>2524</v>
      </c>
      <c r="P769" s="614" t="str">
        <f>VLOOKUP(O769,'Centri di Costo'!$A$2:$B$179,2,FALSE)</f>
        <v>Att. Ord. Ed. Nat. MAV, Foresteria e Casone - Vallevecchia (per il 2018)</v>
      </c>
      <c r="Q769" s="624" t="s">
        <v>2014</v>
      </c>
      <c r="R769" s="642" t="s">
        <v>519</v>
      </c>
    </row>
    <row r="770" spans="1:18" ht="28.5" customHeight="1" outlineLevel="2">
      <c r="A770" s="85" t="s">
        <v>308</v>
      </c>
      <c r="B770" s="402" t="s">
        <v>1874</v>
      </c>
      <c r="C770" s="85" t="s">
        <v>384</v>
      </c>
      <c r="D770" s="148" t="s">
        <v>7</v>
      </c>
      <c r="E770" s="87">
        <v>2018</v>
      </c>
      <c r="F770" s="88">
        <v>70</v>
      </c>
      <c r="G770" s="120" t="s">
        <v>510</v>
      </c>
      <c r="H770" s="581" t="s">
        <v>511</v>
      </c>
      <c r="I770" s="601">
        <v>500</v>
      </c>
      <c r="J770" s="595" t="s">
        <v>36</v>
      </c>
      <c r="K770" s="91">
        <v>1</v>
      </c>
      <c r="L770" s="91">
        <v>3</v>
      </c>
      <c r="M770" s="92">
        <v>49</v>
      </c>
      <c r="N770" s="119" t="str">
        <f>VLOOKUP(M770,'PF Uscite Sp. Corr.'!$C$1:$E$100,2,FALSE)</f>
        <v>Manutenzione ordinaria e riparazioni</v>
      </c>
      <c r="O770" s="131">
        <v>2524</v>
      </c>
      <c r="P770" s="614" t="str">
        <f>VLOOKUP(O770,'Centri di Costo'!$A$2:$B$179,2,FALSE)</f>
        <v>Att. Ord. Ed. Nat. MAV, Foresteria e Casone - Vallevecchia (per il 2018)</v>
      </c>
      <c r="Q770" s="623" t="s">
        <v>2004</v>
      </c>
      <c r="R770" s="642" t="s">
        <v>512</v>
      </c>
    </row>
    <row r="771" spans="1:18" ht="36.75" customHeight="1" outlineLevel="2">
      <c r="A771" s="85" t="s">
        <v>308</v>
      </c>
      <c r="B771" s="402" t="s">
        <v>1874</v>
      </c>
      <c r="C771" s="85" t="s">
        <v>384</v>
      </c>
      <c r="D771" s="148" t="s">
        <v>7</v>
      </c>
      <c r="E771" s="87">
        <v>2018</v>
      </c>
      <c r="F771" s="88">
        <v>70</v>
      </c>
      <c r="G771" s="120" t="s">
        <v>510</v>
      </c>
      <c r="H771" s="581" t="s">
        <v>517</v>
      </c>
      <c r="I771" s="601">
        <v>6700</v>
      </c>
      <c r="J771" s="595" t="s">
        <v>36</v>
      </c>
      <c r="K771" s="91">
        <v>1</v>
      </c>
      <c r="L771" s="91">
        <v>3</v>
      </c>
      <c r="M771" s="92">
        <v>49</v>
      </c>
      <c r="N771" s="119" t="str">
        <f>VLOOKUP(M771,'PF Uscite Sp. Corr.'!$C$1:$E$100,2,FALSE)</f>
        <v>Manutenzione ordinaria e riparazioni</v>
      </c>
      <c r="O771" s="131">
        <v>2524</v>
      </c>
      <c r="P771" s="614" t="str">
        <f>VLOOKUP(O771,'Centri di Costo'!$A$2:$B$179,2,FALSE)</f>
        <v>Att. Ord. Ed. Nat. MAV, Foresteria e Casone - Vallevecchia (per il 2018)</v>
      </c>
      <c r="Q771" s="623" t="s">
        <v>2004</v>
      </c>
      <c r="R771" s="642" t="s">
        <v>52</v>
      </c>
    </row>
    <row r="772" spans="1:18" s="139" customFormat="1" ht="28.5" customHeight="1" outlineLevel="2">
      <c r="A772" s="115" t="s">
        <v>308</v>
      </c>
      <c r="B772" s="404" t="s">
        <v>1874</v>
      </c>
      <c r="C772" s="115" t="s">
        <v>384</v>
      </c>
      <c r="D772" s="417" t="s">
        <v>7</v>
      </c>
      <c r="E772" s="412">
        <v>2018</v>
      </c>
      <c r="F772" s="413">
        <v>70</v>
      </c>
      <c r="G772" s="123" t="s">
        <v>510</v>
      </c>
      <c r="H772" s="583" t="s">
        <v>520</v>
      </c>
      <c r="I772" s="603">
        <v>4900</v>
      </c>
      <c r="J772" s="596" t="s">
        <v>36</v>
      </c>
      <c r="K772" s="216">
        <v>1</v>
      </c>
      <c r="L772" s="216">
        <v>3</v>
      </c>
      <c r="M772" s="418">
        <v>53</v>
      </c>
      <c r="N772" s="118" t="str">
        <f>VLOOKUP(M772,'PF Uscite Sp. Corr.'!$C$1:$E$100,2,FALSE)</f>
        <v>Servizi ausiliari per il funzionamento dell'ente</v>
      </c>
      <c r="O772" s="419">
        <v>2524</v>
      </c>
      <c r="P772" s="615" t="str">
        <f>VLOOKUP(O772,'Centri di Costo'!$A$2:$B$179,2,FALSE)</f>
        <v>Att. Ord. Ed. Nat. MAV, Foresteria e Casone - Vallevecchia (per il 2018)</v>
      </c>
      <c r="Q772" s="623" t="s">
        <v>2004</v>
      </c>
      <c r="R772" s="648" t="s">
        <v>521</v>
      </c>
    </row>
    <row r="773" spans="1:18" s="215" customFormat="1" ht="20.25" customHeight="1" outlineLevel="1" collapsed="1">
      <c r="A773" s="160"/>
      <c r="B773" s="433" t="s">
        <v>1912</v>
      </c>
      <c r="C773" s="161"/>
      <c r="D773" s="437"/>
      <c r="E773" s="438"/>
      <c r="F773" s="438"/>
      <c r="G773" s="441" t="s">
        <v>1938</v>
      </c>
      <c r="H773" s="214" t="str">
        <f>G772</f>
        <v>Gestione Museo Ambientale di Vallevecchia</v>
      </c>
      <c r="I773" s="605">
        <f>SUBTOTAL(9,I765:I772)</f>
        <v>19000</v>
      </c>
      <c r="J773" s="212"/>
      <c r="K773" s="179"/>
      <c r="L773" s="179"/>
      <c r="M773" s="213"/>
      <c r="N773" s="434"/>
      <c r="O773" s="439"/>
      <c r="P773" s="435"/>
      <c r="Q773" s="620"/>
      <c r="R773" s="645"/>
    </row>
    <row r="774" spans="1:18" ht="28.5" customHeight="1" outlineLevel="2">
      <c r="A774" s="94" t="s">
        <v>308</v>
      </c>
      <c r="B774" s="402" t="s">
        <v>1875</v>
      </c>
      <c r="C774" s="94" t="s">
        <v>384</v>
      </c>
      <c r="D774" s="149" t="s">
        <v>7</v>
      </c>
      <c r="E774" s="101">
        <v>2018</v>
      </c>
      <c r="F774" s="102">
        <v>77</v>
      </c>
      <c r="G774" s="121" t="s">
        <v>524</v>
      </c>
      <c r="H774" s="580" t="s">
        <v>1108</v>
      </c>
      <c r="I774" s="600">
        <f>31084+3227+1905+1684</f>
        <v>37900</v>
      </c>
      <c r="J774" s="594" t="s">
        <v>36</v>
      </c>
      <c r="K774" s="99">
        <v>1</v>
      </c>
      <c r="L774" s="99">
        <v>1</v>
      </c>
      <c r="M774" s="517" t="s">
        <v>1530</v>
      </c>
      <c r="N774" s="577" t="str">
        <f>VLOOKUP(M774,'PF Uscite Sp. Corr.'!$C$1:$E$100,2,FALSE)</f>
        <v>Salari, Oneri Sociali, Acc. TFR, Buoni Pasto (e IRAP su retribuz. se dovuta) OTD</v>
      </c>
      <c r="O774" s="132">
        <v>2521</v>
      </c>
      <c r="P774" s="613" t="str">
        <f>VLOOKUP(O774,'Centri di Costo'!$A$2:$B$179,2,FALSE)</f>
        <v>Att. Ord. Nat. Giardino Botanico - Cansiglio (per il 2018)</v>
      </c>
      <c r="Q774" s="621" t="s">
        <v>1998</v>
      </c>
      <c r="R774" s="639" t="s">
        <v>542</v>
      </c>
    </row>
    <row r="775" spans="1:18" ht="28.5" customHeight="1" outlineLevel="2">
      <c r="A775" s="85" t="s">
        <v>308</v>
      </c>
      <c r="B775" s="402" t="s">
        <v>1875</v>
      </c>
      <c r="C775" s="85" t="s">
        <v>384</v>
      </c>
      <c r="D775" s="148" t="s">
        <v>7</v>
      </c>
      <c r="E775" s="87">
        <v>2018</v>
      </c>
      <c r="F775" s="88">
        <v>77</v>
      </c>
      <c r="G775" s="120" t="s">
        <v>524</v>
      </c>
      <c r="H775" s="581" t="s">
        <v>525</v>
      </c>
      <c r="I775" s="601">
        <v>1600</v>
      </c>
      <c r="J775" s="595" t="s">
        <v>36</v>
      </c>
      <c r="K775" s="91">
        <v>1</v>
      </c>
      <c r="L775" s="91">
        <v>3</v>
      </c>
      <c r="M775" s="92">
        <v>32</v>
      </c>
      <c r="N775" s="119" t="str">
        <f>VLOOKUP(M775,'PF Uscite Sp. Corr.'!$C$1:$E$100,2,FALSE)</f>
        <v>Altri beni di consumo</v>
      </c>
      <c r="O775" s="131">
        <v>2521</v>
      </c>
      <c r="P775" s="614" t="str">
        <f>VLOOKUP(O775,'Centri di Costo'!$A$2:$B$179,2,FALSE)</f>
        <v>Att. Ord. Nat. Giardino Botanico - Cansiglio (per il 2018)</v>
      </c>
      <c r="Q775" s="623" t="s">
        <v>2004</v>
      </c>
      <c r="R775" s="642" t="s">
        <v>526</v>
      </c>
    </row>
    <row r="776" spans="1:18" ht="28.5" customHeight="1" outlineLevel="2">
      <c r="A776" s="85" t="s">
        <v>308</v>
      </c>
      <c r="B776" s="402" t="s">
        <v>1875</v>
      </c>
      <c r="C776" s="85" t="s">
        <v>384</v>
      </c>
      <c r="D776" s="148" t="s">
        <v>7</v>
      </c>
      <c r="E776" s="87">
        <v>2018</v>
      </c>
      <c r="F776" s="88">
        <v>77</v>
      </c>
      <c r="G776" s="120" t="s">
        <v>524</v>
      </c>
      <c r="H776" s="581" t="s">
        <v>539</v>
      </c>
      <c r="I776" s="601">
        <v>2000</v>
      </c>
      <c r="J776" s="595" t="s">
        <v>36</v>
      </c>
      <c r="K776" s="91">
        <v>1</v>
      </c>
      <c r="L776" s="91">
        <v>3</v>
      </c>
      <c r="M776" s="92">
        <v>32</v>
      </c>
      <c r="N776" s="119" t="str">
        <f>VLOOKUP(M776,'PF Uscite Sp. Corr.'!$C$1:$E$100,2,FALSE)</f>
        <v>Altri beni di consumo</v>
      </c>
      <c r="O776" s="131">
        <v>2522</v>
      </c>
      <c r="P776" s="614" t="str">
        <f>VLOOKUP(O776,'Centri di Costo'!$A$2:$B$179,2,FALSE)</f>
        <v>Att. Ord. Nat.  MUC - Cansiglio (per il 2018)</v>
      </c>
      <c r="Q776" s="623" t="s">
        <v>2004</v>
      </c>
      <c r="R776" s="642" t="s">
        <v>540</v>
      </c>
    </row>
    <row r="777" spans="1:18" ht="28.5" customHeight="1" outlineLevel="2">
      <c r="A777" s="85" t="s">
        <v>308</v>
      </c>
      <c r="B777" s="402" t="s">
        <v>1875</v>
      </c>
      <c r="C777" s="85" t="s">
        <v>384</v>
      </c>
      <c r="D777" s="148" t="s">
        <v>7</v>
      </c>
      <c r="E777" s="87">
        <v>2018</v>
      </c>
      <c r="F777" s="88">
        <v>77</v>
      </c>
      <c r="G777" s="120" t="s">
        <v>524</v>
      </c>
      <c r="H777" s="581" t="s">
        <v>529</v>
      </c>
      <c r="I777" s="601">
        <v>500</v>
      </c>
      <c r="J777" s="595" t="s">
        <v>36</v>
      </c>
      <c r="K777" s="91">
        <v>1</v>
      </c>
      <c r="L777" s="91">
        <v>3</v>
      </c>
      <c r="M777" s="92">
        <v>45</v>
      </c>
      <c r="N777" s="119" t="str">
        <f>VLOOKUP(M777,'PF Uscite Sp. Corr.'!$C$1:$E$100,2,FALSE)</f>
        <v>Utenze e canoni</v>
      </c>
      <c r="O777" s="131">
        <v>2501</v>
      </c>
      <c r="P777" s="614" t="str">
        <f>VLOOKUP(O777,'Centri di Costo'!$A$2:$B$179,2,FALSE)</f>
        <v>Att. Ord. Ed. Nat. Giardino Botanico - Cansiglio</v>
      </c>
      <c r="Q777" s="623" t="s">
        <v>2004</v>
      </c>
      <c r="R777" s="642" t="s">
        <v>513</v>
      </c>
    </row>
    <row r="778" spans="1:18" ht="28.5" customHeight="1" outlineLevel="2">
      <c r="A778" s="85" t="s">
        <v>308</v>
      </c>
      <c r="B778" s="402" t="s">
        <v>1875</v>
      </c>
      <c r="C778" s="85" t="s">
        <v>384</v>
      </c>
      <c r="D778" s="148" t="s">
        <v>7</v>
      </c>
      <c r="E778" s="87">
        <v>2018</v>
      </c>
      <c r="F778" s="88">
        <v>77</v>
      </c>
      <c r="G778" s="120" t="s">
        <v>524</v>
      </c>
      <c r="H778" s="581" t="s">
        <v>541</v>
      </c>
      <c r="I778" s="601">
        <v>600</v>
      </c>
      <c r="J778" s="595" t="s">
        <v>36</v>
      </c>
      <c r="K778" s="91">
        <v>1</v>
      </c>
      <c r="L778" s="91">
        <v>3</v>
      </c>
      <c r="M778" s="92">
        <v>45</v>
      </c>
      <c r="N778" s="119" t="str">
        <f>VLOOKUP(M778,'PF Uscite Sp. Corr.'!$C$1:$E$100,2,FALSE)</f>
        <v>Utenze e canoni</v>
      </c>
      <c r="O778" s="131">
        <v>2502</v>
      </c>
      <c r="P778" s="614" t="str">
        <f>VLOOKUP(O778,'Centri di Costo'!$A$2:$B$179,2,FALSE)</f>
        <v>Att. Ord. Ed. Nat.  MUC - Cansiglio</v>
      </c>
      <c r="Q778" s="623" t="s">
        <v>2004</v>
      </c>
      <c r="R778" s="642" t="s">
        <v>67</v>
      </c>
    </row>
    <row r="779" spans="1:18" ht="28.5" customHeight="1" outlineLevel="2">
      <c r="A779" s="85" t="s">
        <v>308</v>
      </c>
      <c r="B779" s="402" t="s">
        <v>1875</v>
      </c>
      <c r="C779" s="85" t="s">
        <v>384</v>
      </c>
      <c r="D779" s="148" t="s">
        <v>7</v>
      </c>
      <c r="E779" s="87">
        <v>2018</v>
      </c>
      <c r="F779" s="88">
        <v>77</v>
      </c>
      <c r="G779" s="120" t="s">
        <v>524</v>
      </c>
      <c r="H779" s="581" t="s">
        <v>528</v>
      </c>
      <c r="I779" s="601">
        <v>500</v>
      </c>
      <c r="J779" s="595" t="s">
        <v>36</v>
      </c>
      <c r="K779" s="91">
        <v>1</v>
      </c>
      <c r="L779" s="91">
        <v>3</v>
      </c>
      <c r="M779" s="92">
        <v>45</v>
      </c>
      <c r="N779" s="119" t="str">
        <f>VLOOKUP(M779,'PF Uscite Sp. Corr.'!$C$1:$E$100,2,FALSE)</f>
        <v>Utenze e canoni</v>
      </c>
      <c r="O779" s="131">
        <v>2521</v>
      </c>
      <c r="P779" s="614" t="str">
        <f>VLOOKUP(O779,'Centri di Costo'!$A$2:$B$179,2,FALSE)</f>
        <v>Att. Ord. Nat. Giardino Botanico - Cansiglio (per il 2018)</v>
      </c>
      <c r="Q779" s="624" t="s">
        <v>2014</v>
      </c>
      <c r="R779" s="642" t="s">
        <v>514</v>
      </c>
    </row>
    <row r="780" spans="1:18" ht="28.5" customHeight="1" outlineLevel="2">
      <c r="A780" s="85" t="s">
        <v>308</v>
      </c>
      <c r="B780" s="402" t="s">
        <v>1875</v>
      </c>
      <c r="C780" s="85" t="s">
        <v>384</v>
      </c>
      <c r="D780" s="148" t="s">
        <v>7</v>
      </c>
      <c r="E780" s="87">
        <v>2018</v>
      </c>
      <c r="F780" s="88">
        <v>77</v>
      </c>
      <c r="G780" s="120" t="s">
        <v>524</v>
      </c>
      <c r="H780" s="581" t="s">
        <v>531</v>
      </c>
      <c r="I780" s="601">
        <v>200</v>
      </c>
      <c r="J780" s="595" t="s">
        <v>36</v>
      </c>
      <c r="K780" s="91">
        <v>1</v>
      </c>
      <c r="L780" s="91">
        <v>3</v>
      </c>
      <c r="M780" s="92">
        <v>45</v>
      </c>
      <c r="N780" s="119" t="str">
        <f>VLOOKUP(M780,'PF Uscite Sp. Corr.'!$C$1:$E$100,2,FALSE)</f>
        <v>Utenze e canoni</v>
      </c>
      <c r="O780" s="131">
        <v>2522</v>
      </c>
      <c r="P780" s="614" t="str">
        <f>VLOOKUP(O780,'Centri di Costo'!$A$2:$B$179,2,FALSE)</f>
        <v>Att. Ord. Nat.  MUC - Cansiglio (per il 2018)</v>
      </c>
      <c r="Q780" s="624" t="s">
        <v>2014</v>
      </c>
      <c r="R780" s="642" t="s">
        <v>519</v>
      </c>
    </row>
    <row r="781" spans="1:18" ht="28.5" customHeight="1" outlineLevel="2">
      <c r="A781" s="85" t="s">
        <v>308</v>
      </c>
      <c r="B781" s="402" t="s">
        <v>1875</v>
      </c>
      <c r="C781" s="85" t="s">
        <v>384</v>
      </c>
      <c r="D781" s="148" t="s">
        <v>7</v>
      </c>
      <c r="E781" s="87">
        <v>2018</v>
      </c>
      <c r="F781" s="88">
        <v>77</v>
      </c>
      <c r="G781" s="120" t="s">
        <v>524</v>
      </c>
      <c r="H781" s="581" t="s">
        <v>532</v>
      </c>
      <c r="I781" s="601">
        <v>3000</v>
      </c>
      <c r="J781" s="595" t="s">
        <v>36</v>
      </c>
      <c r="K781" s="91">
        <v>1</v>
      </c>
      <c r="L781" s="91">
        <v>3</v>
      </c>
      <c r="M781" s="92">
        <v>45</v>
      </c>
      <c r="N781" s="119" t="str">
        <f>VLOOKUP(M781,'PF Uscite Sp. Corr.'!$C$1:$E$100,2,FALSE)</f>
        <v>Utenze e canoni</v>
      </c>
      <c r="O781" s="131">
        <v>2522</v>
      </c>
      <c r="P781" s="614" t="str">
        <f>VLOOKUP(O781,'Centri di Costo'!$A$2:$B$179,2,FALSE)</f>
        <v>Att. Ord. Nat.  MUC - Cansiglio (per il 2018)</v>
      </c>
      <c r="Q781" s="624" t="s">
        <v>2014</v>
      </c>
      <c r="R781" s="642" t="s">
        <v>514</v>
      </c>
    </row>
    <row r="782" spans="1:18" ht="28.5" customHeight="1" outlineLevel="2">
      <c r="A782" s="85" t="s">
        <v>308</v>
      </c>
      <c r="B782" s="402" t="s">
        <v>1875</v>
      </c>
      <c r="C782" s="85" t="s">
        <v>384</v>
      </c>
      <c r="D782" s="148" t="s">
        <v>7</v>
      </c>
      <c r="E782" s="87">
        <v>2018</v>
      </c>
      <c r="F782" s="88">
        <v>77</v>
      </c>
      <c r="G782" s="120" t="s">
        <v>524</v>
      </c>
      <c r="H782" s="581" t="s">
        <v>527</v>
      </c>
      <c r="I782" s="601">
        <v>500</v>
      </c>
      <c r="J782" s="595" t="s">
        <v>36</v>
      </c>
      <c r="K782" s="91">
        <v>1</v>
      </c>
      <c r="L782" s="91">
        <v>3</v>
      </c>
      <c r="M782" s="92">
        <v>49</v>
      </c>
      <c r="N782" s="119" t="str">
        <f>VLOOKUP(M782,'PF Uscite Sp. Corr.'!$C$1:$E$100,2,FALSE)</f>
        <v>Manutenzione ordinaria e riparazioni</v>
      </c>
      <c r="O782" s="131">
        <v>2501</v>
      </c>
      <c r="P782" s="614" t="str">
        <f>VLOOKUP(O782,'Centri di Costo'!$A$2:$B$179,2,FALSE)</f>
        <v>Att. Ord. Ed. Nat. Giardino Botanico - Cansiglio</v>
      </c>
      <c r="Q782" s="623" t="s">
        <v>2004</v>
      </c>
      <c r="R782" s="642" t="s">
        <v>497</v>
      </c>
    </row>
    <row r="783" spans="1:18" ht="28.5" customHeight="1" outlineLevel="2">
      <c r="A783" s="85" t="s">
        <v>308</v>
      </c>
      <c r="B783" s="402" t="s">
        <v>1875</v>
      </c>
      <c r="C783" s="85" t="s">
        <v>384</v>
      </c>
      <c r="D783" s="148" t="s">
        <v>7</v>
      </c>
      <c r="E783" s="87">
        <v>2018</v>
      </c>
      <c r="F783" s="88">
        <v>77</v>
      </c>
      <c r="G783" s="120" t="s">
        <v>524</v>
      </c>
      <c r="H783" s="581" t="s">
        <v>530</v>
      </c>
      <c r="I783" s="601">
        <v>500</v>
      </c>
      <c r="J783" s="595" t="s">
        <v>36</v>
      </c>
      <c r="K783" s="91">
        <v>1</v>
      </c>
      <c r="L783" s="91">
        <v>3</v>
      </c>
      <c r="M783" s="92">
        <v>49</v>
      </c>
      <c r="N783" s="119" t="str">
        <f>VLOOKUP(M783,'PF Uscite Sp. Corr.'!$C$1:$E$100,2,FALSE)</f>
        <v>Manutenzione ordinaria e riparazioni</v>
      </c>
      <c r="O783" s="131">
        <v>2502</v>
      </c>
      <c r="P783" s="614" t="str">
        <f>VLOOKUP(O783,'Centri di Costo'!$A$2:$B$179,2,FALSE)</f>
        <v>Att. Ord. Ed. Nat.  MUC - Cansiglio</v>
      </c>
      <c r="Q783" s="623" t="s">
        <v>2004</v>
      </c>
      <c r="R783" s="642" t="s">
        <v>497</v>
      </c>
    </row>
    <row r="784" spans="1:18" ht="28.5" customHeight="1" outlineLevel="2">
      <c r="A784" s="85" t="s">
        <v>308</v>
      </c>
      <c r="B784" s="402" t="s">
        <v>1875</v>
      </c>
      <c r="C784" s="85" t="s">
        <v>384</v>
      </c>
      <c r="D784" s="148" t="s">
        <v>7</v>
      </c>
      <c r="E784" s="87">
        <v>2018</v>
      </c>
      <c r="F784" s="88">
        <v>77</v>
      </c>
      <c r="G784" s="120" t="s">
        <v>524</v>
      </c>
      <c r="H784" s="581" t="s">
        <v>533</v>
      </c>
      <c r="I784" s="601">
        <v>900</v>
      </c>
      <c r="J784" s="595" t="s">
        <v>36</v>
      </c>
      <c r="K784" s="91">
        <v>1</v>
      </c>
      <c r="L784" s="91">
        <v>3</v>
      </c>
      <c r="M784" s="92">
        <v>49</v>
      </c>
      <c r="N784" s="119" t="str">
        <f>VLOOKUP(M784,'PF Uscite Sp. Corr.'!$C$1:$E$100,2,FALSE)</f>
        <v>Manutenzione ordinaria e riparazioni</v>
      </c>
      <c r="O784" s="131">
        <v>2502</v>
      </c>
      <c r="P784" s="614" t="str">
        <f>VLOOKUP(O784,'Centri di Costo'!$A$2:$B$179,2,FALSE)</f>
        <v>Att. Ord. Ed. Nat.  MUC - Cansiglio</v>
      </c>
      <c r="Q784" s="623" t="s">
        <v>2004</v>
      </c>
      <c r="R784" s="642" t="s">
        <v>497</v>
      </c>
    </row>
    <row r="785" spans="1:18" ht="28.5" customHeight="1" outlineLevel="2">
      <c r="A785" s="85" t="s">
        <v>308</v>
      </c>
      <c r="B785" s="402" t="s">
        <v>1875</v>
      </c>
      <c r="C785" s="85" t="s">
        <v>384</v>
      </c>
      <c r="D785" s="148" t="s">
        <v>7</v>
      </c>
      <c r="E785" s="87">
        <v>2018</v>
      </c>
      <c r="F785" s="88">
        <v>77</v>
      </c>
      <c r="G785" s="120" t="s">
        <v>524</v>
      </c>
      <c r="H785" s="581" t="s">
        <v>534</v>
      </c>
      <c r="I785" s="601">
        <v>400</v>
      </c>
      <c r="J785" s="595" t="s">
        <v>36</v>
      </c>
      <c r="K785" s="91">
        <v>1</v>
      </c>
      <c r="L785" s="91">
        <v>3</v>
      </c>
      <c r="M785" s="92">
        <v>49</v>
      </c>
      <c r="N785" s="119" t="str">
        <f>VLOOKUP(M785,'PF Uscite Sp. Corr.'!$C$1:$E$100,2,FALSE)</f>
        <v>Manutenzione ordinaria e riparazioni</v>
      </c>
      <c r="O785" s="131">
        <v>2502</v>
      </c>
      <c r="P785" s="614" t="str">
        <f>VLOOKUP(O785,'Centri di Costo'!$A$2:$B$179,2,FALSE)</f>
        <v>Att. Ord. Ed. Nat.  MUC - Cansiglio</v>
      </c>
      <c r="Q785" s="623" t="s">
        <v>2004</v>
      </c>
      <c r="R785" s="642" t="s">
        <v>497</v>
      </c>
    </row>
    <row r="786" spans="1:18" ht="28.5" customHeight="1" outlineLevel="2">
      <c r="A786" s="85" t="s">
        <v>308</v>
      </c>
      <c r="B786" s="402" t="s">
        <v>1875</v>
      </c>
      <c r="C786" s="85" t="s">
        <v>384</v>
      </c>
      <c r="D786" s="148" t="s">
        <v>7</v>
      </c>
      <c r="E786" s="87">
        <v>2018</v>
      </c>
      <c r="F786" s="88">
        <v>77</v>
      </c>
      <c r="G786" s="120" t="s">
        <v>524</v>
      </c>
      <c r="H786" s="581" t="s">
        <v>535</v>
      </c>
      <c r="I786" s="601">
        <v>2500</v>
      </c>
      <c r="J786" s="595" t="s">
        <v>36</v>
      </c>
      <c r="K786" s="91">
        <v>1</v>
      </c>
      <c r="L786" s="91">
        <v>3</v>
      </c>
      <c r="M786" s="92">
        <v>49</v>
      </c>
      <c r="N786" s="119" t="str">
        <f>VLOOKUP(M786,'PF Uscite Sp. Corr.'!$C$1:$E$100,2,FALSE)</f>
        <v>Manutenzione ordinaria e riparazioni</v>
      </c>
      <c r="O786" s="131">
        <v>2502</v>
      </c>
      <c r="P786" s="614" t="str">
        <f>VLOOKUP(O786,'Centri di Costo'!$A$2:$B$179,2,FALSE)</f>
        <v>Att. Ord. Ed. Nat.  MUC - Cansiglio</v>
      </c>
      <c r="Q786" s="623" t="s">
        <v>2004</v>
      </c>
      <c r="R786" s="642" t="s">
        <v>536</v>
      </c>
    </row>
    <row r="787" spans="1:18" ht="28.5" customHeight="1" outlineLevel="2">
      <c r="A787" s="85" t="s">
        <v>308</v>
      </c>
      <c r="B787" s="402" t="s">
        <v>1875</v>
      </c>
      <c r="C787" s="85" t="s">
        <v>384</v>
      </c>
      <c r="D787" s="148" t="s">
        <v>7</v>
      </c>
      <c r="E787" s="87">
        <v>2018</v>
      </c>
      <c r="F787" s="88">
        <v>77</v>
      </c>
      <c r="G787" s="120" t="s">
        <v>524</v>
      </c>
      <c r="H787" s="581" t="s">
        <v>537</v>
      </c>
      <c r="I787" s="601">
        <v>500</v>
      </c>
      <c r="J787" s="595" t="s">
        <v>36</v>
      </c>
      <c r="K787" s="91">
        <v>1</v>
      </c>
      <c r="L787" s="91">
        <v>3</v>
      </c>
      <c r="M787" s="92">
        <v>51</v>
      </c>
      <c r="N787" s="119" t="str">
        <f>VLOOKUP(M787,'PF Uscite Sp. Corr.'!$C$1:$E$100,2,FALSE)</f>
        <v>Prestazioni professionali e specialistiche</v>
      </c>
      <c r="O787" s="131">
        <v>2502</v>
      </c>
      <c r="P787" s="614" t="str">
        <f>VLOOKUP(O787,'Centri di Costo'!$A$2:$B$179,2,FALSE)</f>
        <v>Att. Ord. Ed. Nat.  MUC - Cansiglio</v>
      </c>
      <c r="Q787" s="623" t="s">
        <v>2004</v>
      </c>
      <c r="R787" s="642" t="s">
        <v>538</v>
      </c>
    </row>
    <row r="788" spans="1:18" s="139" customFormat="1" ht="28.5" customHeight="1" outlineLevel="2">
      <c r="A788" s="115" t="s">
        <v>308</v>
      </c>
      <c r="B788" s="404" t="s">
        <v>1875</v>
      </c>
      <c r="C788" s="115" t="s">
        <v>384</v>
      </c>
      <c r="D788" s="417" t="s">
        <v>7</v>
      </c>
      <c r="E788" s="412">
        <v>2018</v>
      </c>
      <c r="F788" s="413">
        <v>77</v>
      </c>
      <c r="G788" s="123" t="s">
        <v>524</v>
      </c>
      <c r="H788" s="583" t="s">
        <v>1344</v>
      </c>
      <c r="I788" s="603">
        <v>3800</v>
      </c>
      <c r="J788" s="596" t="s">
        <v>36</v>
      </c>
      <c r="K788" s="216">
        <v>1</v>
      </c>
      <c r="L788" s="216">
        <v>3</v>
      </c>
      <c r="M788" s="418">
        <v>53</v>
      </c>
      <c r="N788" s="118" t="str">
        <f>VLOOKUP(M788,'PF Uscite Sp. Corr.'!$C$1:$E$100,2,FALSE)</f>
        <v>Servizi ausiliari per il funzionamento dell'ente</v>
      </c>
      <c r="O788" s="419">
        <v>2501</v>
      </c>
      <c r="P788" s="615" t="str">
        <f>VLOOKUP(O788,'Centri di Costo'!$A$2:$B$179,2,FALSE)</f>
        <v>Att. Ord. Ed. Nat. Giardino Botanico - Cansiglio</v>
      </c>
      <c r="Q788" s="623" t="s">
        <v>2004</v>
      </c>
      <c r="R788" s="648" t="s">
        <v>521</v>
      </c>
    </row>
    <row r="789" spans="1:18" s="215" customFormat="1" ht="25.5" customHeight="1" outlineLevel="1" collapsed="1">
      <c r="A789" s="160"/>
      <c r="B789" s="433" t="s">
        <v>1913</v>
      </c>
      <c r="C789" s="161"/>
      <c r="D789" s="437"/>
      <c r="E789" s="438"/>
      <c r="F789" s="438"/>
      <c r="G789" s="441" t="s">
        <v>1938</v>
      </c>
      <c r="H789" s="214" t="str">
        <f>G788</f>
        <v>Gestione Naturalistica Museo dell'Uomo in Cansiglio e Giardino Botanico Giangio Lorenzoni</v>
      </c>
      <c r="I789" s="605">
        <f>SUBTOTAL(9,I774:I788)</f>
        <v>55400</v>
      </c>
      <c r="J789" s="212"/>
      <c r="K789" s="179"/>
      <c r="L789" s="179"/>
      <c r="M789" s="213"/>
      <c r="N789" s="434"/>
      <c r="O789" s="439"/>
      <c r="P789" s="435"/>
      <c r="Q789" s="620"/>
      <c r="R789" s="645"/>
    </row>
    <row r="790" spans="1:18" ht="28.5" customHeight="1" outlineLevel="2">
      <c r="A790" s="94" t="s">
        <v>308</v>
      </c>
      <c r="B790" s="402" t="s">
        <v>1876</v>
      </c>
      <c r="C790" s="94" t="s">
        <v>384</v>
      </c>
      <c r="D790" s="149" t="s">
        <v>7</v>
      </c>
      <c r="E790" s="101">
        <v>2018</v>
      </c>
      <c r="F790" s="102">
        <v>81</v>
      </c>
      <c r="G790" s="121" t="s">
        <v>543</v>
      </c>
      <c r="H790" s="580" t="s">
        <v>557</v>
      </c>
      <c r="I790" s="600">
        <v>450</v>
      </c>
      <c r="J790" s="594" t="s">
        <v>36</v>
      </c>
      <c r="K790" s="99">
        <v>1</v>
      </c>
      <c r="L790" s="99">
        <v>3</v>
      </c>
      <c r="M790" s="113">
        <v>31</v>
      </c>
      <c r="N790" s="128" t="str">
        <f>VLOOKUP(M790,'PF Uscite Sp. Corr.'!$C$1:$E$100,2,FALSE)</f>
        <v>Giornali, riviste e pubblicazioni</v>
      </c>
      <c r="O790" s="132">
        <v>2520</v>
      </c>
      <c r="P790" s="613" t="str">
        <f>VLOOKUP(O790,'Centri di Costo'!$A$2:$B$179,2,FALSE)</f>
        <v>Attività  Naturalistica - Totale Att. Ordinaria (per il 2018)</v>
      </c>
      <c r="Q790" s="623" t="s">
        <v>2004</v>
      </c>
      <c r="R790" s="639" t="s">
        <v>256</v>
      </c>
    </row>
    <row r="791" spans="1:18" ht="51" customHeight="1" outlineLevel="2">
      <c r="A791" s="85" t="s">
        <v>308</v>
      </c>
      <c r="B791" s="402" t="s">
        <v>1876</v>
      </c>
      <c r="C791" s="85" t="s">
        <v>384</v>
      </c>
      <c r="D791" s="148" t="s">
        <v>7</v>
      </c>
      <c r="E791" s="87">
        <v>2018</v>
      </c>
      <c r="F791" s="88">
        <v>81</v>
      </c>
      <c r="G791" s="120" t="s">
        <v>543</v>
      </c>
      <c r="H791" s="581" t="s">
        <v>544</v>
      </c>
      <c r="I791" s="601">
        <v>2800</v>
      </c>
      <c r="J791" s="595" t="s">
        <v>36</v>
      </c>
      <c r="K791" s="91">
        <v>1</v>
      </c>
      <c r="L791" s="91">
        <v>3</v>
      </c>
      <c r="M791" s="92">
        <v>32</v>
      </c>
      <c r="N791" s="119" t="str">
        <f>VLOOKUP(M791,'PF Uscite Sp. Corr.'!$C$1:$E$100,2,FALSE)</f>
        <v>Altri beni di consumo</v>
      </c>
      <c r="O791" s="131">
        <v>2520</v>
      </c>
      <c r="P791" s="614" t="str">
        <f>VLOOKUP(O791,'Centri di Costo'!$A$2:$B$179,2,FALSE)</f>
        <v>Attività  Naturalistica - Totale Att. Ordinaria (per il 2018)</v>
      </c>
      <c r="Q791" s="623" t="s">
        <v>2004</v>
      </c>
      <c r="R791" s="642" t="s">
        <v>545</v>
      </c>
    </row>
    <row r="792" spans="1:18" ht="40.5" customHeight="1" outlineLevel="2">
      <c r="A792" s="85" t="s">
        <v>308</v>
      </c>
      <c r="B792" s="402" t="s">
        <v>1876</v>
      </c>
      <c r="C792" s="85" t="s">
        <v>384</v>
      </c>
      <c r="D792" s="148" t="s">
        <v>7</v>
      </c>
      <c r="E792" s="87">
        <v>2018</v>
      </c>
      <c r="F792" s="88">
        <v>81</v>
      </c>
      <c r="G792" s="120" t="s">
        <v>543</v>
      </c>
      <c r="H792" s="581" t="s">
        <v>546</v>
      </c>
      <c r="I792" s="601">
        <v>1400</v>
      </c>
      <c r="J792" s="595" t="s">
        <v>36</v>
      </c>
      <c r="K792" s="91">
        <v>1</v>
      </c>
      <c r="L792" s="91">
        <v>3</v>
      </c>
      <c r="M792" s="92">
        <v>32</v>
      </c>
      <c r="N792" s="119" t="str">
        <f>VLOOKUP(M792,'PF Uscite Sp. Corr.'!$C$1:$E$100,2,FALSE)</f>
        <v>Altri beni di consumo</v>
      </c>
      <c r="O792" s="131">
        <v>2520</v>
      </c>
      <c r="P792" s="614" t="str">
        <f>VLOOKUP(O792,'Centri di Costo'!$A$2:$B$179,2,FALSE)</f>
        <v>Attività  Naturalistica - Totale Att. Ordinaria (per il 2018)</v>
      </c>
      <c r="Q792" s="623" t="s">
        <v>2004</v>
      </c>
      <c r="R792" s="642" t="s">
        <v>545</v>
      </c>
    </row>
    <row r="793" spans="1:18" ht="28.5" customHeight="1" outlineLevel="2">
      <c r="A793" s="85" t="s">
        <v>308</v>
      </c>
      <c r="B793" s="402" t="s">
        <v>1876</v>
      </c>
      <c r="C793" s="85" t="s">
        <v>384</v>
      </c>
      <c r="D793" s="148" t="s">
        <v>7</v>
      </c>
      <c r="E793" s="87">
        <v>2018</v>
      </c>
      <c r="F793" s="88">
        <v>81</v>
      </c>
      <c r="G793" s="120" t="s">
        <v>543</v>
      </c>
      <c r="H793" s="581" t="s">
        <v>550</v>
      </c>
      <c r="I793" s="601">
        <v>3500</v>
      </c>
      <c r="J793" s="595" t="s">
        <v>36</v>
      </c>
      <c r="K793" s="91">
        <v>1</v>
      </c>
      <c r="L793" s="91">
        <v>3</v>
      </c>
      <c r="M793" s="92">
        <v>32</v>
      </c>
      <c r="N793" s="119" t="str">
        <f>VLOOKUP(M793,'PF Uscite Sp. Corr.'!$C$1:$E$100,2,FALSE)</f>
        <v>Altri beni di consumo</v>
      </c>
      <c r="O793" s="131">
        <v>2520</v>
      </c>
      <c r="P793" s="614" t="str">
        <f>VLOOKUP(O793,'Centri di Costo'!$A$2:$B$179,2,FALSE)</f>
        <v>Attività  Naturalistica - Totale Att. Ordinaria (per il 2018)</v>
      </c>
      <c r="Q793" s="623" t="s">
        <v>2004</v>
      </c>
      <c r="R793" s="642" t="s">
        <v>551</v>
      </c>
    </row>
    <row r="794" spans="1:18" ht="28.5" customHeight="1" outlineLevel="2">
      <c r="A794" s="85" t="s">
        <v>308</v>
      </c>
      <c r="B794" s="402" t="s">
        <v>1876</v>
      </c>
      <c r="C794" s="85" t="s">
        <v>384</v>
      </c>
      <c r="D794" s="148" t="s">
        <v>7</v>
      </c>
      <c r="E794" s="87">
        <v>2018</v>
      </c>
      <c r="F794" s="88">
        <v>81</v>
      </c>
      <c r="G794" s="120" t="s">
        <v>543</v>
      </c>
      <c r="H794" s="581" t="s">
        <v>552</v>
      </c>
      <c r="I794" s="601">
        <v>1800</v>
      </c>
      <c r="J794" s="595" t="s">
        <v>36</v>
      </c>
      <c r="K794" s="91">
        <v>1</v>
      </c>
      <c r="L794" s="91">
        <v>3</v>
      </c>
      <c r="M794" s="92">
        <v>32</v>
      </c>
      <c r="N794" s="119" t="str">
        <f>VLOOKUP(M794,'PF Uscite Sp. Corr.'!$C$1:$E$100,2,FALSE)</f>
        <v>Altri beni di consumo</v>
      </c>
      <c r="O794" s="131">
        <v>2520</v>
      </c>
      <c r="P794" s="614" t="str">
        <f>VLOOKUP(O794,'Centri di Costo'!$A$2:$B$179,2,FALSE)</f>
        <v>Attività  Naturalistica - Totale Att. Ordinaria (per il 2018)</v>
      </c>
      <c r="Q794" s="623" t="s">
        <v>2004</v>
      </c>
      <c r="R794" s="642" t="s">
        <v>481</v>
      </c>
    </row>
    <row r="795" spans="1:18" ht="49.5" customHeight="1" outlineLevel="2">
      <c r="A795" s="85" t="s">
        <v>308</v>
      </c>
      <c r="B795" s="402" t="s">
        <v>1876</v>
      </c>
      <c r="C795" s="85" t="s">
        <v>384</v>
      </c>
      <c r="D795" s="148" t="s">
        <v>7</v>
      </c>
      <c r="E795" s="87">
        <v>2018</v>
      </c>
      <c r="F795" s="88">
        <v>81</v>
      </c>
      <c r="G795" s="120" t="s">
        <v>543</v>
      </c>
      <c r="H795" s="581" t="s">
        <v>553</v>
      </c>
      <c r="I795" s="601">
        <v>3000</v>
      </c>
      <c r="J795" s="595" t="s">
        <v>36</v>
      </c>
      <c r="K795" s="91">
        <v>1</v>
      </c>
      <c r="L795" s="91">
        <v>3</v>
      </c>
      <c r="M795" s="92">
        <v>32</v>
      </c>
      <c r="N795" s="119" t="str">
        <f>VLOOKUP(M795,'PF Uscite Sp. Corr.'!$C$1:$E$100,2,FALSE)</f>
        <v>Altri beni di consumo</v>
      </c>
      <c r="O795" s="131">
        <v>2520</v>
      </c>
      <c r="P795" s="614" t="str">
        <f>VLOOKUP(O795,'Centri di Costo'!$A$2:$B$179,2,FALSE)</f>
        <v>Attività  Naturalistica - Totale Att. Ordinaria (per il 2018)</v>
      </c>
      <c r="Q795" s="623" t="s">
        <v>2004</v>
      </c>
      <c r="R795" s="642" t="s">
        <v>545</v>
      </c>
    </row>
    <row r="796" spans="1:18" ht="28.5" customHeight="1" outlineLevel="2">
      <c r="A796" s="85" t="s">
        <v>308</v>
      </c>
      <c r="B796" s="402" t="s">
        <v>1876</v>
      </c>
      <c r="C796" s="85" t="s">
        <v>384</v>
      </c>
      <c r="D796" s="148" t="s">
        <v>7</v>
      </c>
      <c r="E796" s="87">
        <v>2018</v>
      </c>
      <c r="F796" s="88">
        <v>81</v>
      </c>
      <c r="G796" s="120" t="s">
        <v>543</v>
      </c>
      <c r="H796" s="581" t="s">
        <v>556</v>
      </c>
      <c r="I796" s="601">
        <v>1200</v>
      </c>
      <c r="J796" s="595" t="s">
        <v>36</v>
      </c>
      <c r="K796" s="91">
        <v>1</v>
      </c>
      <c r="L796" s="91">
        <v>3</v>
      </c>
      <c r="M796" s="92">
        <v>32</v>
      </c>
      <c r="N796" s="119" t="str">
        <f>VLOOKUP(M796,'PF Uscite Sp. Corr.'!$C$1:$E$100,2,FALSE)</f>
        <v>Altri beni di consumo</v>
      </c>
      <c r="O796" s="131">
        <v>2520</v>
      </c>
      <c r="P796" s="614" t="str">
        <f>VLOOKUP(O796,'Centri di Costo'!$A$2:$B$179,2,FALSE)</f>
        <v>Attività  Naturalistica - Totale Att. Ordinaria (per il 2018)</v>
      </c>
      <c r="Q796" s="623" t="s">
        <v>2004</v>
      </c>
      <c r="R796" s="642" t="s">
        <v>426</v>
      </c>
    </row>
    <row r="797" spans="1:18" ht="40.5" customHeight="1" outlineLevel="2">
      <c r="A797" s="85" t="s">
        <v>308</v>
      </c>
      <c r="B797" s="402" t="s">
        <v>1876</v>
      </c>
      <c r="C797" s="85" t="s">
        <v>384</v>
      </c>
      <c r="D797" s="148" t="s">
        <v>7</v>
      </c>
      <c r="E797" s="87">
        <v>2018</v>
      </c>
      <c r="F797" s="88">
        <v>81</v>
      </c>
      <c r="G797" s="120" t="s">
        <v>543</v>
      </c>
      <c r="H797" s="581" t="s">
        <v>554</v>
      </c>
      <c r="I797" s="601">
        <v>5400</v>
      </c>
      <c r="J797" s="595" t="s">
        <v>36</v>
      </c>
      <c r="K797" s="91">
        <v>1</v>
      </c>
      <c r="L797" s="91">
        <v>3</v>
      </c>
      <c r="M797" s="92">
        <v>47</v>
      </c>
      <c r="N797" s="119" t="str">
        <f>VLOOKUP(M797,'PF Uscite Sp. Corr.'!$C$1:$E$100,2,FALSE)</f>
        <v>Utilizzo di beni di terzi</v>
      </c>
      <c r="O797" s="131">
        <v>2520</v>
      </c>
      <c r="P797" s="614" t="str">
        <f>VLOOKUP(O797,'Centri di Costo'!$A$2:$B$179,2,FALSE)</f>
        <v>Attività  Naturalistica - Totale Att. Ordinaria (per il 2018)</v>
      </c>
      <c r="Q797" s="623" t="s">
        <v>2004</v>
      </c>
      <c r="R797" s="642" t="s">
        <v>555</v>
      </c>
    </row>
    <row r="798" spans="1:18" ht="28.5" customHeight="1" outlineLevel="2">
      <c r="A798" s="85" t="s">
        <v>308</v>
      </c>
      <c r="B798" s="402" t="s">
        <v>1876</v>
      </c>
      <c r="C798" s="85" t="s">
        <v>384</v>
      </c>
      <c r="D798" s="148" t="s">
        <v>7</v>
      </c>
      <c r="E798" s="87">
        <v>2018</v>
      </c>
      <c r="F798" s="88">
        <v>81</v>
      </c>
      <c r="G798" s="120" t="s">
        <v>543</v>
      </c>
      <c r="H798" s="581" t="s">
        <v>547</v>
      </c>
      <c r="I798" s="601">
        <v>0</v>
      </c>
      <c r="J798" s="595" t="s">
        <v>36</v>
      </c>
      <c r="K798" s="91">
        <v>1</v>
      </c>
      <c r="L798" s="91">
        <v>3</v>
      </c>
      <c r="M798" s="92">
        <v>53</v>
      </c>
      <c r="N798" s="119" t="str">
        <f>VLOOKUP(M798,'PF Uscite Sp. Corr.'!$C$1:$E$100,2,FALSE)</f>
        <v>Servizi ausiliari per il funzionamento dell'ente</v>
      </c>
      <c r="O798" s="131">
        <v>2520</v>
      </c>
      <c r="P798" s="614" t="str">
        <f>VLOOKUP(O798,'Centri di Costo'!$A$2:$B$179,2,FALSE)</f>
        <v>Attività  Naturalistica - Totale Att. Ordinaria (per il 2018)</v>
      </c>
      <c r="Q798" s="623" t="s">
        <v>2004</v>
      </c>
      <c r="R798" s="642" t="s">
        <v>548</v>
      </c>
    </row>
    <row r="799" spans="1:18" ht="28.5" customHeight="1" outlineLevel="2">
      <c r="A799" s="85" t="s">
        <v>308</v>
      </c>
      <c r="B799" s="402" t="s">
        <v>1876</v>
      </c>
      <c r="C799" s="85" t="s">
        <v>384</v>
      </c>
      <c r="D799" s="148" t="s">
        <v>7</v>
      </c>
      <c r="E799" s="87">
        <v>2018</v>
      </c>
      <c r="F799" s="88">
        <v>81</v>
      </c>
      <c r="G799" s="120" t="s">
        <v>543</v>
      </c>
      <c r="H799" s="581" t="s">
        <v>1343</v>
      </c>
      <c r="I799" s="601">
        <v>2000</v>
      </c>
      <c r="J799" s="595" t="s">
        <v>36</v>
      </c>
      <c r="K799" s="91">
        <v>1</v>
      </c>
      <c r="L799" s="91">
        <v>3</v>
      </c>
      <c r="M799" s="92">
        <v>53</v>
      </c>
      <c r="N799" s="119" t="str">
        <f>VLOOKUP(M799,'PF Uscite Sp. Corr.'!$C$1:$E$100,2,FALSE)</f>
        <v>Servizi ausiliari per il funzionamento dell'ente</v>
      </c>
      <c r="O799" s="131">
        <v>2520</v>
      </c>
      <c r="P799" s="614" t="str">
        <f>VLOOKUP(O799,'Centri di Costo'!$A$2:$B$179,2,FALSE)</f>
        <v>Attività  Naturalistica - Totale Att. Ordinaria (per il 2018)</v>
      </c>
      <c r="Q799" s="623" t="s">
        <v>2004</v>
      </c>
      <c r="R799" s="642" t="s">
        <v>521</v>
      </c>
    </row>
    <row r="800" spans="1:18" s="139" customFormat="1" ht="28.5" customHeight="1" outlineLevel="2">
      <c r="A800" s="115" t="s">
        <v>308</v>
      </c>
      <c r="B800" s="404" t="s">
        <v>1876</v>
      </c>
      <c r="C800" s="115" t="s">
        <v>384</v>
      </c>
      <c r="D800" s="417" t="s">
        <v>7</v>
      </c>
      <c r="E800" s="412">
        <v>2018</v>
      </c>
      <c r="F800" s="413">
        <v>81</v>
      </c>
      <c r="G800" s="123" t="s">
        <v>543</v>
      </c>
      <c r="H800" s="583" t="s">
        <v>549</v>
      </c>
      <c r="I800" s="603">
        <v>450</v>
      </c>
      <c r="J800" s="596" t="s">
        <v>36</v>
      </c>
      <c r="K800" s="216">
        <v>1</v>
      </c>
      <c r="L800" s="216">
        <v>3</v>
      </c>
      <c r="M800" s="418">
        <v>55</v>
      </c>
      <c r="N800" s="118" t="str">
        <f>VLOOKUP(M800,'PF Uscite Sp. Corr.'!$C$1:$E$100,2,FALSE)</f>
        <v>Altri servizi</v>
      </c>
      <c r="O800" s="419">
        <v>2520</v>
      </c>
      <c r="P800" s="615" t="str">
        <f>VLOOKUP(O800,'Centri di Costo'!$A$2:$B$179,2,FALSE)</f>
        <v>Attività  Naturalistica - Totale Att. Ordinaria (per il 2018)</v>
      </c>
      <c r="Q800" s="623" t="s">
        <v>2004</v>
      </c>
      <c r="R800" s="648" t="s">
        <v>85</v>
      </c>
    </row>
    <row r="801" spans="1:18" s="215" customFormat="1" ht="23.25" customHeight="1" outlineLevel="1" collapsed="1">
      <c r="A801" s="160"/>
      <c r="B801" s="433" t="s">
        <v>1914</v>
      </c>
      <c r="C801" s="161"/>
      <c r="D801" s="437"/>
      <c r="E801" s="438"/>
      <c r="F801" s="438"/>
      <c r="G801" s="441" t="s">
        <v>1938</v>
      </c>
      <c r="H801" s="214" t="str">
        <f>G800</f>
        <v>Attività Naturalistica e valorizzazione del turismo sostenibile</v>
      </c>
      <c r="I801" s="605">
        <f>SUBTOTAL(9,I790:I800)</f>
        <v>22000</v>
      </c>
      <c r="J801" s="212"/>
      <c r="K801" s="179"/>
      <c r="L801" s="179"/>
      <c r="M801" s="213"/>
      <c r="N801" s="434"/>
      <c r="O801" s="439"/>
      <c r="P801" s="435"/>
      <c r="Q801" s="620"/>
      <c r="R801" s="645"/>
    </row>
    <row r="802" spans="1:18" ht="28.5" customHeight="1" outlineLevel="2">
      <c r="A802" s="94" t="s">
        <v>308</v>
      </c>
      <c r="B802" s="402" t="s">
        <v>1877</v>
      </c>
      <c r="C802" s="94" t="s">
        <v>384</v>
      </c>
      <c r="D802" s="524" t="s">
        <v>561</v>
      </c>
      <c r="E802" s="101">
        <v>2018</v>
      </c>
      <c r="F802" s="102">
        <v>46</v>
      </c>
      <c r="G802" s="121" t="s">
        <v>562</v>
      </c>
      <c r="H802" s="580" t="s">
        <v>564</v>
      </c>
      <c r="I802" s="600">
        <v>2000</v>
      </c>
      <c r="J802" s="594" t="s">
        <v>36</v>
      </c>
      <c r="K802" s="99">
        <v>1</v>
      </c>
      <c r="L802" s="99">
        <v>3</v>
      </c>
      <c r="M802" s="113">
        <v>32</v>
      </c>
      <c r="N802" s="128" t="str">
        <f>VLOOKUP(M802,'PF Uscite Sp. Corr.'!$C$1:$E$100,2,FALSE)</f>
        <v>Altri beni di consumo</v>
      </c>
      <c r="O802" s="132">
        <v>1910</v>
      </c>
      <c r="P802" s="613" t="str">
        <f>VLOOKUP(O802,'Centri di Costo'!$A$2:$B$179,2,FALSE)</f>
        <v xml:space="preserve">Ric. Faunistica - Totale Attività Ordinaria </v>
      </c>
      <c r="Q802" s="623" t="s">
        <v>2004</v>
      </c>
      <c r="R802" s="653" t="s">
        <v>81</v>
      </c>
    </row>
    <row r="803" spans="1:18" ht="48" customHeight="1" outlineLevel="2">
      <c r="A803" s="85" t="s">
        <v>308</v>
      </c>
      <c r="B803" s="400" t="s">
        <v>1877</v>
      </c>
      <c r="C803" s="85" t="s">
        <v>384</v>
      </c>
      <c r="D803" s="508" t="s">
        <v>561</v>
      </c>
      <c r="E803" s="87">
        <v>2018</v>
      </c>
      <c r="F803" s="88">
        <v>46</v>
      </c>
      <c r="G803" s="120" t="s">
        <v>562</v>
      </c>
      <c r="H803" s="581" t="s">
        <v>563</v>
      </c>
      <c r="I803" s="601">
        <v>5000</v>
      </c>
      <c r="J803" s="595" t="s">
        <v>36</v>
      </c>
      <c r="K803" s="91">
        <v>1</v>
      </c>
      <c r="L803" s="91">
        <v>3</v>
      </c>
      <c r="M803" s="92">
        <v>51</v>
      </c>
      <c r="N803" s="119" t="str">
        <f>VLOOKUP(M803,'PF Uscite Sp. Corr.'!$C$1:$E$100,2,FALSE)</f>
        <v>Prestazioni professionali e specialistiche</v>
      </c>
      <c r="O803" s="131">
        <v>1910</v>
      </c>
      <c r="P803" s="614" t="str">
        <f>VLOOKUP(O803,'Centri di Costo'!$A$2:$B$179,2,FALSE)</f>
        <v xml:space="preserve">Ric. Faunistica - Totale Attività Ordinaria </v>
      </c>
      <c r="Q803" s="623" t="s">
        <v>2004</v>
      </c>
      <c r="R803" s="640" t="s">
        <v>560</v>
      </c>
    </row>
    <row r="804" spans="1:18" ht="52.5" customHeight="1" outlineLevel="2">
      <c r="A804" s="85" t="s">
        <v>308</v>
      </c>
      <c r="B804" s="400" t="s">
        <v>1877</v>
      </c>
      <c r="C804" s="85" t="s">
        <v>384</v>
      </c>
      <c r="D804" s="508" t="s">
        <v>561</v>
      </c>
      <c r="E804" s="87">
        <v>2018</v>
      </c>
      <c r="F804" s="88">
        <v>46</v>
      </c>
      <c r="G804" s="120" t="s">
        <v>562</v>
      </c>
      <c r="H804" s="581" t="s">
        <v>565</v>
      </c>
      <c r="I804" s="601">
        <v>5000</v>
      </c>
      <c r="J804" s="595" t="s">
        <v>36</v>
      </c>
      <c r="K804" s="91">
        <v>1</v>
      </c>
      <c r="L804" s="91">
        <v>3</v>
      </c>
      <c r="M804" s="92">
        <v>51</v>
      </c>
      <c r="N804" s="119" t="str">
        <f>VLOOKUP(M804,'PF Uscite Sp. Corr.'!$C$1:$E$100,2,FALSE)</f>
        <v>Prestazioni professionali e specialistiche</v>
      </c>
      <c r="O804" s="131">
        <v>1910</v>
      </c>
      <c r="P804" s="614" t="str">
        <f>VLOOKUP(O804,'Centri di Costo'!$A$2:$B$179,2,FALSE)</f>
        <v xml:space="preserve">Ric. Faunistica - Totale Attività Ordinaria </v>
      </c>
      <c r="Q804" s="623" t="s">
        <v>2004</v>
      </c>
      <c r="R804" s="640" t="s">
        <v>560</v>
      </c>
    </row>
    <row r="805" spans="1:18" s="139" customFormat="1" ht="38.25" customHeight="1" outlineLevel="2">
      <c r="A805" s="115" t="s">
        <v>308</v>
      </c>
      <c r="B805" s="400" t="s">
        <v>1877</v>
      </c>
      <c r="C805" s="115" t="s">
        <v>384</v>
      </c>
      <c r="D805" s="510" t="s">
        <v>561</v>
      </c>
      <c r="E805" s="412">
        <v>2018</v>
      </c>
      <c r="F805" s="88">
        <v>46</v>
      </c>
      <c r="G805" s="123" t="s">
        <v>562</v>
      </c>
      <c r="H805" s="583" t="s">
        <v>566</v>
      </c>
      <c r="I805" s="603">
        <v>3000</v>
      </c>
      <c r="J805" s="596" t="s">
        <v>36</v>
      </c>
      <c r="K805" s="216">
        <v>1</v>
      </c>
      <c r="L805" s="216">
        <v>3</v>
      </c>
      <c r="M805" s="418">
        <v>51</v>
      </c>
      <c r="N805" s="118" t="str">
        <f>VLOOKUP(M805,'PF Uscite Sp. Corr.'!$C$1:$E$100,2,FALSE)</f>
        <v>Prestazioni professionali e specialistiche</v>
      </c>
      <c r="O805" s="419">
        <v>1910</v>
      </c>
      <c r="P805" s="615" t="str">
        <f>VLOOKUP(O805,'Centri di Costo'!$A$2:$B$179,2,FALSE)</f>
        <v xml:space="preserve">Ric. Faunistica - Totale Attività Ordinaria </v>
      </c>
      <c r="Q805" s="623" t="s">
        <v>2004</v>
      </c>
      <c r="R805" s="643" t="s">
        <v>560</v>
      </c>
    </row>
    <row r="806" spans="1:18" s="139" customFormat="1" ht="2.25" customHeight="1" outlineLevel="2">
      <c r="A806" s="396" t="s">
        <v>308</v>
      </c>
      <c r="B806" s="401" t="s">
        <v>1877</v>
      </c>
      <c r="C806" s="396" t="s">
        <v>384</v>
      </c>
      <c r="D806" s="421" t="s">
        <v>7</v>
      </c>
      <c r="E806" s="422">
        <v>2018</v>
      </c>
      <c r="F806" s="423">
        <v>170</v>
      </c>
      <c r="G806" s="208" t="s">
        <v>558</v>
      </c>
      <c r="H806" s="584" t="s">
        <v>559</v>
      </c>
      <c r="I806" s="604">
        <v>10000</v>
      </c>
      <c r="J806" s="597" t="s">
        <v>36</v>
      </c>
      <c r="K806" s="248">
        <v>1</v>
      </c>
      <c r="L806" s="248">
        <v>3</v>
      </c>
      <c r="M806" s="249">
        <v>51</v>
      </c>
      <c r="N806" s="415" t="str">
        <f>VLOOKUP(M806,'PF Uscite Sp. Corr.'!$C$1:$E$100,2,FALSE)</f>
        <v>Prestazioni professionali e specialistiche</v>
      </c>
      <c r="O806" s="424">
        <v>1910</v>
      </c>
      <c r="P806" s="616" t="str">
        <f>VLOOKUP(O806,'Centri di Costo'!$A$2:$B$179,2,FALSE)</f>
        <v xml:space="preserve">Ric. Faunistica - Totale Attività Ordinaria </v>
      </c>
      <c r="Q806" s="623" t="s">
        <v>2004</v>
      </c>
      <c r="R806" s="646" t="s">
        <v>560</v>
      </c>
    </row>
    <row r="807" spans="1:18" s="215" customFormat="1" ht="16.5" customHeight="1" outlineLevel="1" collapsed="1">
      <c r="A807" s="160"/>
      <c r="B807" s="433" t="s">
        <v>1915</v>
      </c>
      <c r="C807" s="161"/>
      <c r="D807" s="437"/>
      <c r="E807" s="438"/>
      <c r="F807" s="438"/>
      <c r="G807" s="441" t="s">
        <v>1938</v>
      </c>
      <c r="H807" s="214" t="s">
        <v>1959</v>
      </c>
      <c r="I807" s="605">
        <f>SUBTOTAL(9,I802:I806)</f>
        <v>25000</v>
      </c>
      <c r="J807" s="212"/>
      <c r="K807" s="179"/>
      <c r="L807" s="179"/>
      <c r="M807" s="213"/>
      <c r="N807" s="434"/>
      <c r="O807" s="439"/>
      <c r="P807" s="435"/>
      <c r="Q807" s="620"/>
      <c r="R807" s="645"/>
    </row>
    <row r="808" spans="1:18" ht="28.5" customHeight="1" outlineLevel="2">
      <c r="A808" s="94" t="s">
        <v>308</v>
      </c>
      <c r="B808" s="402" t="s">
        <v>1878</v>
      </c>
      <c r="C808" s="94" t="s">
        <v>384</v>
      </c>
      <c r="D808" s="149" t="s">
        <v>7</v>
      </c>
      <c r="E808" s="101">
        <v>2018</v>
      </c>
      <c r="F808" s="102">
        <v>14</v>
      </c>
      <c r="G808" s="121" t="s">
        <v>385</v>
      </c>
      <c r="H808" s="580" t="s">
        <v>386</v>
      </c>
      <c r="I808" s="600">
        <v>2000</v>
      </c>
      <c r="J808" s="594" t="s">
        <v>9</v>
      </c>
      <c r="K808" s="99">
        <v>1</v>
      </c>
      <c r="L808" s="99">
        <v>3</v>
      </c>
      <c r="M808" s="113">
        <v>45</v>
      </c>
      <c r="N808" s="128" t="str">
        <f>VLOOKUP(M808,'PF Uscite Sp. Corr.'!$C$1:$E$100,2,FALSE)</f>
        <v>Utenze e canoni</v>
      </c>
      <c r="O808" s="132">
        <v>2310</v>
      </c>
      <c r="P808" s="613" t="str">
        <f>VLOOKUP(O808,'Centri di Costo'!$A$2:$B$179,2,FALSE)</f>
        <v>Oss. Economico Agroalim. - Attività Ordinaria</v>
      </c>
      <c r="Q808" s="623" t="s">
        <v>2004</v>
      </c>
      <c r="R808" s="639" t="s">
        <v>387</v>
      </c>
    </row>
    <row r="809" spans="1:18" ht="28.5" customHeight="1" outlineLevel="2">
      <c r="A809" s="85" t="s">
        <v>308</v>
      </c>
      <c r="B809" s="402" t="s">
        <v>1878</v>
      </c>
      <c r="C809" s="85" t="s">
        <v>384</v>
      </c>
      <c r="D809" s="148" t="s">
        <v>7</v>
      </c>
      <c r="E809" s="87">
        <v>2018</v>
      </c>
      <c r="F809" s="88">
        <v>14</v>
      </c>
      <c r="G809" s="120" t="s">
        <v>385</v>
      </c>
      <c r="H809" s="581" t="s">
        <v>388</v>
      </c>
      <c r="I809" s="601">
        <v>8000</v>
      </c>
      <c r="J809" s="595" t="s">
        <v>9</v>
      </c>
      <c r="K809" s="91">
        <v>1</v>
      </c>
      <c r="L809" s="91">
        <v>3</v>
      </c>
      <c r="M809" s="92">
        <v>51</v>
      </c>
      <c r="N809" s="119" t="str">
        <f>VLOOKUP(M809,'PF Uscite Sp. Corr.'!$C$1:$E$100,2,FALSE)</f>
        <v>Prestazioni professionali e specialistiche</v>
      </c>
      <c r="O809" s="131">
        <v>2310</v>
      </c>
      <c r="P809" s="614" t="str">
        <f>VLOOKUP(O809,'Centri di Costo'!$A$2:$B$179,2,FALSE)</f>
        <v>Oss. Economico Agroalim. - Attività Ordinaria</v>
      </c>
      <c r="Q809" s="623" t="s">
        <v>2004</v>
      </c>
      <c r="R809" s="642" t="s">
        <v>82</v>
      </c>
    </row>
    <row r="810" spans="1:18" s="139" customFormat="1" ht="28.5" customHeight="1" outlineLevel="2">
      <c r="A810" s="115" t="s">
        <v>308</v>
      </c>
      <c r="B810" s="404" t="s">
        <v>1878</v>
      </c>
      <c r="C810" s="115" t="s">
        <v>384</v>
      </c>
      <c r="D810" s="417" t="s">
        <v>7</v>
      </c>
      <c r="E810" s="412">
        <v>2018</v>
      </c>
      <c r="F810" s="413">
        <v>14</v>
      </c>
      <c r="G810" s="123" t="s">
        <v>385</v>
      </c>
      <c r="H810" s="583" t="s">
        <v>388</v>
      </c>
      <c r="I810" s="603">
        <v>5000</v>
      </c>
      <c r="J810" s="596" t="s">
        <v>9</v>
      </c>
      <c r="K810" s="216">
        <v>1</v>
      </c>
      <c r="L810" s="216">
        <v>3</v>
      </c>
      <c r="M810" s="418">
        <v>51</v>
      </c>
      <c r="N810" s="118" t="str">
        <f>VLOOKUP(M810,'PF Uscite Sp. Corr.'!$C$1:$E$100,2,FALSE)</f>
        <v>Prestazioni professionali e specialistiche</v>
      </c>
      <c r="O810" s="419">
        <v>2320</v>
      </c>
      <c r="P810" s="615" t="str">
        <f>VLOOKUP(O810,'Centri di Costo'!$A$2:$B$179,2,FALSE)</f>
        <v>Osservatorio Pesca - Attività Ordinaria</v>
      </c>
      <c r="Q810" s="623" t="s">
        <v>2004</v>
      </c>
      <c r="R810" s="648" t="s">
        <v>82</v>
      </c>
    </row>
    <row r="811" spans="1:18" s="215" customFormat="1" ht="20.25" customHeight="1" outlineLevel="1" collapsed="1">
      <c r="A811" s="160"/>
      <c r="B811" s="433" t="s">
        <v>1916</v>
      </c>
      <c r="C811" s="161"/>
      <c r="D811" s="437"/>
      <c r="E811" s="438"/>
      <c r="F811" s="438"/>
      <c r="G811" s="441" t="s">
        <v>1938</v>
      </c>
      <c r="H811" s="214" t="str">
        <f>G810</f>
        <v>Osservatorio Economico Agroalimentare e Forestale</v>
      </c>
      <c r="I811" s="605">
        <f>SUBTOTAL(9,I808:I810)</f>
        <v>15000</v>
      </c>
      <c r="J811" s="212"/>
      <c r="K811" s="179"/>
      <c r="L811" s="179"/>
      <c r="M811" s="213"/>
      <c r="N811" s="434"/>
      <c r="O811" s="439"/>
      <c r="P811" s="435"/>
      <c r="Q811" s="620"/>
      <c r="R811" s="645"/>
    </row>
    <row r="812" spans="1:18" ht="26.25" customHeight="1" outlineLevel="2">
      <c r="A812" s="94" t="s">
        <v>308</v>
      </c>
      <c r="B812" s="402" t="s">
        <v>1879</v>
      </c>
      <c r="C812" s="94" t="s">
        <v>384</v>
      </c>
      <c r="D812" s="149" t="s">
        <v>7</v>
      </c>
      <c r="E812" s="101">
        <v>2018</v>
      </c>
      <c r="F812" s="102">
        <v>45</v>
      </c>
      <c r="G812" s="121" t="s">
        <v>389</v>
      </c>
      <c r="H812" s="580" t="s">
        <v>2008</v>
      </c>
      <c r="I812" s="600">
        <v>800</v>
      </c>
      <c r="J812" s="594" t="s">
        <v>9</v>
      </c>
      <c r="K812" s="99">
        <v>1</v>
      </c>
      <c r="L812" s="99">
        <v>2</v>
      </c>
      <c r="M812" s="113">
        <v>11</v>
      </c>
      <c r="N812" s="128" t="str">
        <f>VLOOKUP(M812,'PF Uscite Sp. Corr.'!$C$1:$E$100,2,FALSE)</f>
        <v>Imposta regionale sulle attività produttive (IRAP)</v>
      </c>
      <c r="O812" s="132">
        <v>2551</v>
      </c>
      <c r="P812" s="613" t="str">
        <f>VLOOKUP(O812,'Centri di Costo'!$A$2:$B$179,2,FALSE)</f>
        <v xml:space="preserve">Formazione Professionale - Attività Ordinaria  </v>
      </c>
      <c r="Q812" s="622" t="s">
        <v>1844</v>
      </c>
      <c r="R812" s="639" t="s">
        <v>264</v>
      </c>
    </row>
    <row r="813" spans="1:21" ht="28.5" customHeight="1" outlineLevel="2">
      <c r="A813" s="85" t="s">
        <v>308</v>
      </c>
      <c r="B813" s="402" t="s">
        <v>1879</v>
      </c>
      <c r="C813" s="85" t="s">
        <v>384</v>
      </c>
      <c r="D813" s="148" t="s">
        <v>7</v>
      </c>
      <c r="E813" s="87">
        <v>2018</v>
      </c>
      <c r="F813" s="88">
        <v>45</v>
      </c>
      <c r="G813" s="120" t="s">
        <v>389</v>
      </c>
      <c r="H813" s="581" t="s">
        <v>392</v>
      </c>
      <c r="I813" s="601">
        <v>375</v>
      </c>
      <c r="J813" s="595" t="s">
        <v>9</v>
      </c>
      <c r="K813" s="91">
        <v>1</v>
      </c>
      <c r="L813" s="91">
        <v>2</v>
      </c>
      <c r="M813" s="92">
        <v>12</v>
      </c>
      <c r="N813" s="119" t="str">
        <f>VLOOKUP(M813,'PF Uscite Sp. Corr.'!$C$1:$E$100,2,FALSE)</f>
        <v>Imposta di registro e di bollo</v>
      </c>
      <c r="O813" s="131">
        <v>2551</v>
      </c>
      <c r="P813" s="614" t="str">
        <f>VLOOKUP(O813,'Centri di Costo'!$A$2:$B$179,2,FALSE)</f>
        <v xml:space="preserve">Formazione Professionale - Attività Ordinaria  </v>
      </c>
      <c r="Q813" s="622" t="s">
        <v>1844</v>
      </c>
      <c r="R813" s="642" t="s">
        <v>47</v>
      </c>
      <c r="U813" s="566">
        <f>I820*8.5%</f>
        <v>382.5</v>
      </c>
    </row>
    <row r="814" spans="1:18" ht="24" customHeight="1" outlineLevel="2">
      <c r="A814" s="85" t="s">
        <v>308</v>
      </c>
      <c r="B814" s="402" t="s">
        <v>1879</v>
      </c>
      <c r="C814" s="85" t="s">
        <v>384</v>
      </c>
      <c r="D814" s="148" t="s">
        <v>7</v>
      </c>
      <c r="E814" s="87">
        <v>2018</v>
      </c>
      <c r="F814" s="88">
        <v>45</v>
      </c>
      <c r="G814" s="120" t="s">
        <v>389</v>
      </c>
      <c r="H814" s="581" t="s">
        <v>394</v>
      </c>
      <c r="I814" s="601">
        <v>1075</v>
      </c>
      <c r="J814" s="595" t="s">
        <v>9</v>
      </c>
      <c r="K814" s="91">
        <v>1</v>
      </c>
      <c r="L814" s="91">
        <v>3</v>
      </c>
      <c r="M814" s="92">
        <v>32</v>
      </c>
      <c r="N814" s="119" t="str">
        <f>VLOOKUP(M814,'PF Uscite Sp. Corr.'!$C$1:$E$100,2,FALSE)</f>
        <v>Altri beni di consumo</v>
      </c>
      <c r="O814" s="131">
        <v>2551</v>
      </c>
      <c r="P814" s="614" t="str">
        <f>VLOOKUP(O814,'Centri di Costo'!$A$2:$B$179,2,FALSE)</f>
        <v xml:space="preserve">Formazione Professionale - Attività Ordinaria  </v>
      </c>
      <c r="Q814" s="623" t="s">
        <v>2004</v>
      </c>
      <c r="R814" s="642" t="s">
        <v>72</v>
      </c>
    </row>
    <row r="815" spans="1:18" ht="27" customHeight="1" outlineLevel="2">
      <c r="A815" s="85" t="s">
        <v>308</v>
      </c>
      <c r="B815" s="402" t="s">
        <v>1879</v>
      </c>
      <c r="C815" s="85" t="s">
        <v>384</v>
      </c>
      <c r="D815" s="148" t="s">
        <v>7</v>
      </c>
      <c r="E815" s="87">
        <v>2018</v>
      </c>
      <c r="F815" s="88">
        <v>100</v>
      </c>
      <c r="G815" s="120" t="s">
        <v>402</v>
      </c>
      <c r="H815" s="581" t="s">
        <v>1577</v>
      </c>
      <c r="I815" s="601">
        <v>0</v>
      </c>
      <c r="J815" s="595" t="s">
        <v>9</v>
      </c>
      <c r="K815" s="91">
        <v>1</v>
      </c>
      <c r="L815" s="91">
        <v>3</v>
      </c>
      <c r="M815" s="92">
        <v>43</v>
      </c>
      <c r="N815" s="119" t="str">
        <f>VLOOKUP(M815,'PF Uscite Sp. Corr.'!$C$1:$E$100,2,FALSE)</f>
        <v>Rappresentanza, Organizzazione Eventi, Pubblicità</v>
      </c>
      <c r="O815" s="131">
        <v>2551</v>
      </c>
      <c r="P815" s="614" t="str">
        <f>VLOOKUP(O815,'Centri di Costo'!$A$2:$B$179,2,FALSE)</f>
        <v xml:space="preserve">Formazione Professionale - Attività Ordinaria  </v>
      </c>
      <c r="Q815" s="623" t="s">
        <v>2004</v>
      </c>
      <c r="R815" s="642" t="s">
        <v>21</v>
      </c>
    </row>
    <row r="816" spans="1:18" ht="28.5" customHeight="1" outlineLevel="2">
      <c r="A816" s="85" t="s">
        <v>308</v>
      </c>
      <c r="B816" s="402" t="s">
        <v>1879</v>
      </c>
      <c r="C816" s="85" t="s">
        <v>384</v>
      </c>
      <c r="D816" s="148" t="s">
        <v>7</v>
      </c>
      <c r="E816" s="87">
        <v>2018</v>
      </c>
      <c r="F816" s="88">
        <v>45</v>
      </c>
      <c r="G816" s="120" t="s">
        <v>389</v>
      </c>
      <c r="H816" s="581" t="s">
        <v>880</v>
      </c>
      <c r="I816" s="601">
        <v>1500</v>
      </c>
      <c r="J816" s="595" t="s">
        <v>9</v>
      </c>
      <c r="K816" s="91">
        <v>1</v>
      </c>
      <c r="L816" s="91">
        <v>3</v>
      </c>
      <c r="M816" s="92">
        <v>47</v>
      </c>
      <c r="N816" s="119" t="str">
        <f>VLOOKUP(M816,'PF Uscite Sp. Corr.'!$C$1:$E$100,2,FALSE)</f>
        <v>Utilizzo di beni di terzi</v>
      </c>
      <c r="O816" s="131">
        <v>2551</v>
      </c>
      <c r="P816" s="614" t="str">
        <f>VLOOKUP(O816,'Centri di Costo'!$A$2:$B$179,2,FALSE)</f>
        <v xml:space="preserve">Formazione Professionale - Attività Ordinaria  </v>
      </c>
      <c r="Q816" s="623" t="s">
        <v>2014</v>
      </c>
      <c r="R816" s="642" t="s">
        <v>80</v>
      </c>
    </row>
    <row r="817" spans="1:18" ht="28.5" customHeight="1" outlineLevel="2">
      <c r="A817" s="85" t="s">
        <v>308</v>
      </c>
      <c r="B817" s="402" t="s">
        <v>1879</v>
      </c>
      <c r="C817" s="85" t="s">
        <v>384</v>
      </c>
      <c r="D817" s="148" t="s">
        <v>7</v>
      </c>
      <c r="E817" s="87">
        <v>2018</v>
      </c>
      <c r="F817" s="88">
        <v>129</v>
      </c>
      <c r="G817" s="120" t="s">
        <v>396</v>
      </c>
      <c r="H817" s="581" t="s">
        <v>2021</v>
      </c>
      <c r="I817" s="601">
        <v>2500</v>
      </c>
      <c r="J817" s="595" t="s">
        <v>9</v>
      </c>
      <c r="K817" s="91">
        <v>1</v>
      </c>
      <c r="L817" s="91">
        <v>3</v>
      </c>
      <c r="M817" s="92">
        <v>47</v>
      </c>
      <c r="N817" s="119" t="str">
        <f>VLOOKUP(M817,'PF Uscite Sp. Corr.'!$C$1:$E$100,2,FALSE)</f>
        <v>Utilizzo di beni di terzi</v>
      </c>
      <c r="O817" s="131">
        <v>2551</v>
      </c>
      <c r="P817" s="614" t="str">
        <f>VLOOKUP(O817,'Centri di Costo'!$A$2:$B$179,2,FALSE)</f>
        <v xml:space="preserve">Formazione Professionale - Attività Ordinaria  </v>
      </c>
      <c r="Q817" s="623" t="s">
        <v>2004</v>
      </c>
      <c r="R817" s="642" t="s">
        <v>127</v>
      </c>
    </row>
    <row r="818" spans="1:18" ht="25.5" customHeight="1" outlineLevel="2">
      <c r="A818" s="85" t="s">
        <v>308</v>
      </c>
      <c r="B818" s="402" t="s">
        <v>1879</v>
      </c>
      <c r="C818" s="85" t="s">
        <v>384</v>
      </c>
      <c r="D818" s="148" t="s">
        <v>7</v>
      </c>
      <c r="E818" s="87">
        <v>2018</v>
      </c>
      <c r="F818" s="88">
        <v>45</v>
      </c>
      <c r="G818" s="120" t="s">
        <v>389</v>
      </c>
      <c r="H818" s="581" t="s">
        <v>391</v>
      </c>
      <c r="I818" s="601">
        <v>11250</v>
      </c>
      <c r="J818" s="595" t="s">
        <v>9</v>
      </c>
      <c r="K818" s="91">
        <v>1</v>
      </c>
      <c r="L818" s="91">
        <v>3</v>
      </c>
      <c r="M818" s="92">
        <v>51</v>
      </c>
      <c r="N818" s="119" t="str">
        <f>VLOOKUP(M818,'PF Uscite Sp. Corr.'!$C$1:$E$100,2,FALSE)</f>
        <v>Prestazioni professionali e specialistiche</v>
      </c>
      <c r="O818" s="131">
        <v>2551</v>
      </c>
      <c r="P818" s="614" t="str">
        <f>VLOOKUP(O818,'Centri di Costo'!$A$2:$B$179,2,FALSE)</f>
        <v xml:space="preserve">Formazione Professionale - Attività Ordinaria  </v>
      </c>
      <c r="Q818" s="623" t="s">
        <v>2004</v>
      </c>
      <c r="R818" s="642" t="s">
        <v>87</v>
      </c>
    </row>
    <row r="819" spans="1:18" ht="24.75" customHeight="1" outlineLevel="2">
      <c r="A819" s="85" t="s">
        <v>308</v>
      </c>
      <c r="B819" s="402" t="s">
        <v>1879</v>
      </c>
      <c r="C819" s="85" t="s">
        <v>384</v>
      </c>
      <c r="D819" s="148" t="s">
        <v>7</v>
      </c>
      <c r="E819" s="87">
        <v>2018</v>
      </c>
      <c r="F819" s="88">
        <v>45</v>
      </c>
      <c r="G819" s="120" t="s">
        <v>389</v>
      </c>
      <c r="H819" s="581" t="s">
        <v>395</v>
      </c>
      <c r="I819" s="601">
        <v>26000</v>
      </c>
      <c r="J819" s="595" t="s">
        <v>9</v>
      </c>
      <c r="K819" s="91">
        <v>1</v>
      </c>
      <c r="L819" s="91">
        <v>3</v>
      </c>
      <c r="M819" s="91">
        <v>51</v>
      </c>
      <c r="N819" s="119" t="str">
        <f>VLOOKUP(M819,'PF Uscite Sp. Corr.'!$C$1:$E$100,2,FALSE)</f>
        <v>Prestazioni professionali e specialistiche</v>
      </c>
      <c r="O819" s="131">
        <v>2551</v>
      </c>
      <c r="P819" s="614" t="str">
        <f>VLOOKUP(O819,'Centri di Costo'!$A$2:$B$179,2,FALSE)</f>
        <v xml:space="preserve">Formazione Professionale - Attività Ordinaria  </v>
      </c>
      <c r="Q819" s="623" t="s">
        <v>2004</v>
      </c>
      <c r="R819" s="654" t="s">
        <v>12</v>
      </c>
    </row>
    <row r="820" spans="1:18" ht="28.5" customHeight="1" outlineLevel="2">
      <c r="A820" s="85" t="s">
        <v>308</v>
      </c>
      <c r="B820" s="402" t="s">
        <v>1879</v>
      </c>
      <c r="C820" s="85" t="s">
        <v>384</v>
      </c>
      <c r="D820" s="148" t="s">
        <v>7</v>
      </c>
      <c r="E820" s="87">
        <v>2018</v>
      </c>
      <c r="F820" s="88">
        <v>129</v>
      </c>
      <c r="G820" s="120" t="s">
        <v>396</v>
      </c>
      <c r="H820" s="581" t="s">
        <v>2007</v>
      </c>
      <c r="I820" s="601">
        <v>4500</v>
      </c>
      <c r="J820" s="595" t="s">
        <v>9</v>
      </c>
      <c r="K820" s="91">
        <v>1</v>
      </c>
      <c r="L820" s="91">
        <v>3</v>
      </c>
      <c r="M820" s="92">
        <v>51</v>
      </c>
      <c r="N820" s="119" t="str">
        <f>VLOOKUP(M820,'PF Uscite Sp. Corr.'!$C$1:$E$100,2,FALSE)</f>
        <v>Prestazioni professionali e specialistiche</v>
      </c>
      <c r="O820" s="131">
        <v>2551</v>
      </c>
      <c r="P820" s="614" t="str">
        <f>VLOOKUP(O820,'Centri di Costo'!$A$2:$B$179,2,FALSE)</f>
        <v xml:space="preserve">Formazione Professionale - Attività Ordinaria  </v>
      </c>
      <c r="Q820" s="623" t="s">
        <v>2004</v>
      </c>
      <c r="R820" s="642" t="s">
        <v>87</v>
      </c>
    </row>
    <row r="821" spans="1:18" ht="28.5" customHeight="1" outlineLevel="2">
      <c r="A821" s="85" t="s">
        <v>308</v>
      </c>
      <c r="B821" s="402" t="s">
        <v>1879</v>
      </c>
      <c r="C821" s="85" t="s">
        <v>384</v>
      </c>
      <c r="D821" s="148" t="s">
        <v>7</v>
      </c>
      <c r="E821" s="87">
        <v>2018</v>
      </c>
      <c r="F821" s="88">
        <v>140</v>
      </c>
      <c r="G821" s="120" t="s">
        <v>397</v>
      </c>
      <c r="H821" s="581" t="s">
        <v>401</v>
      </c>
      <c r="I821" s="601">
        <v>3000</v>
      </c>
      <c r="J821" s="595" t="s">
        <v>9</v>
      </c>
      <c r="K821" s="91">
        <v>1</v>
      </c>
      <c r="L821" s="91">
        <v>3</v>
      </c>
      <c r="M821" s="92">
        <v>51</v>
      </c>
      <c r="N821" s="119" t="str">
        <f>VLOOKUP(M821,'PF Uscite Sp. Corr.'!$C$1:$E$100,2,FALSE)</f>
        <v>Prestazioni professionali e specialistiche</v>
      </c>
      <c r="O821" s="131">
        <v>2551</v>
      </c>
      <c r="P821" s="614" t="str">
        <f>VLOOKUP(O821,'Centri di Costo'!$A$2:$B$179,2,FALSE)</f>
        <v xml:space="preserve">Formazione Professionale - Attività Ordinaria  </v>
      </c>
      <c r="Q821" s="623" t="s">
        <v>2004</v>
      </c>
      <c r="R821" s="642" t="s">
        <v>87</v>
      </c>
    </row>
    <row r="822" spans="1:18" ht="28.5" customHeight="1" outlineLevel="2">
      <c r="A822" s="85" t="s">
        <v>308</v>
      </c>
      <c r="B822" s="402" t="s">
        <v>1879</v>
      </c>
      <c r="C822" s="85" t="s">
        <v>384</v>
      </c>
      <c r="D822" s="148" t="s">
        <v>7</v>
      </c>
      <c r="E822" s="87">
        <v>2018</v>
      </c>
      <c r="F822" s="88">
        <v>100</v>
      </c>
      <c r="G822" s="120" t="s">
        <v>402</v>
      </c>
      <c r="H822" s="581" t="s">
        <v>1576</v>
      </c>
      <c r="I822" s="601">
        <v>0</v>
      </c>
      <c r="J822" s="595" t="s">
        <v>9</v>
      </c>
      <c r="K822" s="91">
        <v>1</v>
      </c>
      <c r="L822" s="91">
        <v>3</v>
      </c>
      <c r="M822" s="92">
        <v>51</v>
      </c>
      <c r="N822" s="119" t="str">
        <f>VLOOKUP(M822,'PF Uscite Sp. Corr.'!$C$1:$E$100,2,FALSE)</f>
        <v>Prestazioni professionali e specialistiche</v>
      </c>
      <c r="O822" s="131">
        <v>2551</v>
      </c>
      <c r="P822" s="614" t="str">
        <f>VLOOKUP(O822,'Centri di Costo'!$A$2:$B$179,2,FALSE)</f>
        <v xml:space="preserve">Formazione Professionale - Attività Ordinaria  </v>
      </c>
      <c r="Q822" s="623" t="s">
        <v>2004</v>
      </c>
      <c r="R822" s="642" t="s">
        <v>87</v>
      </c>
    </row>
    <row r="823" spans="1:18" ht="25.5" customHeight="1" outlineLevel="2">
      <c r="A823" s="85" t="s">
        <v>308</v>
      </c>
      <c r="B823" s="402" t="s">
        <v>1879</v>
      </c>
      <c r="C823" s="85" t="s">
        <v>384</v>
      </c>
      <c r="D823" s="508" t="s">
        <v>561</v>
      </c>
      <c r="E823" s="87">
        <v>2018</v>
      </c>
      <c r="F823" s="88">
        <v>101</v>
      </c>
      <c r="G823" s="120" t="s">
        <v>567</v>
      </c>
      <c r="H823" s="581" t="s">
        <v>569</v>
      </c>
      <c r="I823" s="601">
        <v>1000</v>
      </c>
      <c r="J823" s="595" t="s">
        <v>9</v>
      </c>
      <c r="K823" s="91">
        <v>1</v>
      </c>
      <c r="L823" s="91">
        <v>3</v>
      </c>
      <c r="M823" s="92">
        <v>51</v>
      </c>
      <c r="N823" s="119" t="str">
        <f>VLOOKUP(M823,'PF Uscite Sp. Corr.'!$C$1:$E$100,2,FALSE)</f>
        <v>Prestazioni professionali e specialistiche</v>
      </c>
      <c r="O823" s="131">
        <v>2551</v>
      </c>
      <c r="P823" s="614" t="str">
        <f>VLOOKUP(O823,'Centri di Costo'!$A$2:$B$179,2,FALSE)</f>
        <v xml:space="preserve">Formazione Professionale - Attività Ordinaria  </v>
      </c>
      <c r="Q823" s="623" t="s">
        <v>2004</v>
      </c>
      <c r="R823" s="640" t="s">
        <v>84</v>
      </c>
    </row>
    <row r="824" spans="1:18" ht="28.5" customHeight="1" outlineLevel="2">
      <c r="A824" s="85" t="s">
        <v>308</v>
      </c>
      <c r="B824" s="402" t="s">
        <v>1879</v>
      </c>
      <c r="C824" s="85" t="s">
        <v>384</v>
      </c>
      <c r="D824" s="148" t="s">
        <v>7</v>
      </c>
      <c r="E824" s="87">
        <v>2018</v>
      </c>
      <c r="F824" s="88">
        <v>45</v>
      </c>
      <c r="G824" s="120" t="s">
        <v>389</v>
      </c>
      <c r="H824" s="581" t="s">
        <v>390</v>
      </c>
      <c r="I824" s="601">
        <v>5000</v>
      </c>
      <c r="J824" s="595" t="s">
        <v>9</v>
      </c>
      <c r="K824" s="91">
        <v>1</v>
      </c>
      <c r="L824" s="91">
        <v>3</v>
      </c>
      <c r="M824" s="92">
        <v>53</v>
      </c>
      <c r="N824" s="119" t="str">
        <f>VLOOKUP(M824,'PF Uscite Sp. Corr.'!$C$1:$E$100,2,FALSE)</f>
        <v>Servizi ausiliari per il funzionamento dell'ente</v>
      </c>
      <c r="O824" s="131">
        <v>2551</v>
      </c>
      <c r="P824" s="614" t="str">
        <f>VLOOKUP(O824,'Centri di Costo'!$A$2:$B$179,2,FALSE)</f>
        <v xml:space="preserve">Formazione Professionale - Attività Ordinaria  </v>
      </c>
      <c r="Q824" s="623" t="s">
        <v>2004</v>
      </c>
      <c r="R824" s="642" t="s">
        <v>78</v>
      </c>
    </row>
    <row r="825" spans="1:18" ht="28.5" customHeight="1" outlineLevel="2">
      <c r="A825" s="85" t="s">
        <v>308</v>
      </c>
      <c r="B825" s="402" t="s">
        <v>1879</v>
      </c>
      <c r="C825" s="85" t="s">
        <v>384</v>
      </c>
      <c r="D825" s="148" t="s">
        <v>7</v>
      </c>
      <c r="E825" s="87">
        <v>2018</v>
      </c>
      <c r="F825" s="88">
        <v>45</v>
      </c>
      <c r="G825" s="120" t="s">
        <v>389</v>
      </c>
      <c r="H825" s="581" t="s">
        <v>393</v>
      </c>
      <c r="I825" s="601">
        <v>14000</v>
      </c>
      <c r="J825" s="595" t="s">
        <v>9</v>
      </c>
      <c r="K825" s="91">
        <v>1</v>
      </c>
      <c r="L825" s="91">
        <v>3</v>
      </c>
      <c r="M825" s="92">
        <v>53</v>
      </c>
      <c r="N825" s="119" t="str">
        <f>VLOOKUP(M825,'PF Uscite Sp. Corr.'!$C$1:$E$100,2,FALSE)</f>
        <v>Servizi ausiliari per il funzionamento dell'ente</v>
      </c>
      <c r="O825" s="131">
        <v>2551</v>
      </c>
      <c r="P825" s="614" t="str">
        <f>VLOOKUP(O825,'Centri di Costo'!$A$2:$B$179,2,FALSE)</f>
        <v xml:space="preserve">Formazione Professionale - Attività Ordinaria  </v>
      </c>
      <c r="Q825" s="623" t="s">
        <v>2004</v>
      </c>
      <c r="R825" s="642" t="s">
        <v>78</v>
      </c>
    </row>
    <row r="826" spans="1:18" ht="28.5" customHeight="1" outlineLevel="2">
      <c r="A826" s="85" t="s">
        <v>308</v>
      </c>
      <c r="B826" s="402" t="s">
        <v>1879</v>
      </c>
      <c r="C826" s="85" t="s">
        <v>384</v>
      </c>
      <c r="D826" s="148" t="s">
        <v>7</v>
      </c>
      <c r="E826" s="87">
        <v>2018</v>
      </c>
      <c r="F826" s="88">
        <v>129</v>
      </c>
      <c r="G826" s="120" t="s">
        <v>396</v>
      </c>
      <c r="H826" s="581" t="s">
        <v>249</v>
      </c>
      <c r="I826" s="601">
        <v>3500</v>
      </c>
      <c r="J826" s="595" t="s">
        <v>9</v>
      </c>
      <c r="K826" s="91">
        <v>1</v>
      </c>
      <c r="L826" s="91">
        <v>3</v>
      </c>
      <c r="M826" s="92">
        <v>53</v>
      </c>
      <c r="N826" s="119" t="str">
        <f>VLOOKUP(M826,'PF Uscite Sp. Corr.'!$C$1:$E$100,2,FALSE)</f>
        <v>Servizi ausiliari per il funzionamento dell'ente</v>
      </c>
      <c r="O826" s="131">
        <v>2551</v>
      </c>
      <c r="P826" s="614" t="str">
        <f>VLOOKUP(O826,'Centri di Costo'!$A$2:$B$179,2,FALSE)</f>
        <v xml:space="preserve">Formazione Professionale - Attività Ordinaria  </v>
      </c>
      <c r="Q826" s="623" t="s">
        <v>2004</v>
      </c>
      <c r="R826" s="642" t="s">
        <v>78</v>
      </c>
    </row>
    <row r="827" spans="1:18" ht="28.5" customHeight="1" outlineLevel="2">
      <c r="A827" s="85" t="s">
        <v>308</v>
      </c>
      <c r="B827" s="402" t="s">
        <v>1879</v>
      </c>
      <c r="C827" s="85" t="s">
        <v>384</v>
      </c>
      <c r="D827" s="148" t="s">
        <v>7</v>
      </c>
      <c r="E827" s="87">
        <v>2018</v>
      </c>
      <c r="F827" s="88">
        <v>140</v>
      </c>
      <c r="G827" s="120" t="s">
        <v>397</v>
      </c>
      <c r="H827" s="581" t="s">
        <v>398</v>
      </c>
      <c r="I827" s="601">
        <v>4500</v>
      </c>
      <c r="J827" s="595" t="s">
        <v>9</v>
      </c>
      <c r="K827" s="91">
        <v>1</v>
      </c>
      <c r="L827" s="91">
        <v>3</v>
      </c>
      <c r="M827" s="92">
        <v>53</v>
      </c>
      <c r="N827" s="119" t="str">
        <f>VLOOKUP(M827,'PF Uscite Sp. Corr.'!$C$1:$E$100,2,FALSE)</f>
        <v>Servizi ausiliari per il funzionamento dell'ente</v>
      </c>
      <c r="O827" s="131">
        <v>2551</v>
      </c>
      <c r="P827" s="614" t="str">
        <f>VLOOKUP(O827,'Centri di Costo'!$A$2:$B$179,2,FALSE)</f>
        <v xml:space="preserve">Formazione Professionale - Attività Ordinaria  </v>
      </c>
      <c r="Q827" s="623" t="s">
        <v>2004</v>
      </c>
      <c r="R827" s="642" t="s">
        <v>83</v>
      </c>
    </row>
    <row r="828" spans="1:18" ht="28.5" customHeight="1" outlineLevel="2">
      <c r="A828" s="85" t="s">
        <v>308</v>
      </c>
      <c r="B828" s="402" t="s">
        <v>1879</v>
      </c>
      <c r="C828" s="85" t="s">
        <v>384</v>
      </c>
      <c r="D828" s="148" t="s">
        <v>7</v>
      </c>
      <c r="E828" s="87">
        <v>2018</v>
      </c>
      <c r="F828" s="88">
        <v>140</v>
      </c>
      <c r="G828" s="120" t="s">
        <v>397</v>
      </c>
      <c r="H828" s="581" t="s">
        <v>399</v>
      </c>
      <c r="I828" s="601">
        <v>2000</v>
      </c>
      <c r="J828" s="595" t="s">
        <v>9</v>
      </c>
      <c r="K828" s="91">
        <v>1</v>
      </c>
      <c r="L828" s="91">
        <v>3</v>
      </c>
      <c r="M828" s="92">
        <v>53</v>
      </c>
      <c r="N828" s="119" t="str">
        <f>VLOOKUP(M828,'PF Uscite Sp. Corr.'!$C$1:$E$100,2,FALSE)</f>
        <v>Servizi ausiliari per il funzionamento dell'ente</v>
      </c>
      <c r="O828" s="131">
        <v>2551</v>
      </c>
      <c r="P828" s="614" t="str">
        <f>VLOOKUP(O828,'Centri di Costo'!$A$2:$B$179,2,FALSE)</f>
        <v xml:space="preserve">Formazione Professionale - Attività Ordinaria  </v>
      </c>
      <c r="Q828" s="623" t="s">
        <v>2004</v>
      </c>
      <c r="R828" s="642" t="s">
        <v>400</v>
      </c>
    </row>
    <row r="829" spans="1:18" ht="25.5" customHeight="1" outlineLevel="2">
      <c r="A829" s="85" t="s">
        <v>308</v>
      </c>
      <c r="B829" s="402" t="s">
        <v>1879</v>
      </c>
      <c r="C829" s="85" t="s">
        <v>384</v>
      </c>
      <c r="D829" s="148" t="s">
        <v>7</v>
      </c>
      <c r="E829" s="87">
        <v>2018</v>
      </c>
      <c r="F829" s="88">
        <v>140</v>
      </c>
      <c r="G829" s="120" t="s">
        <v>397</v>
      </c>
      <c r="H829" s="581" t="s">
        <v>249</v>
      </c>
      <c r="I829" s="601">
        <v>2500</v>
      </c>
      <c r="J829" s="595" t="s">
        <v>9</v>
      </c>
      <c r="K829" s="91">
        <v>1</v>
      </c>
      <c r="L829" s="91">
        <v>3</v>
      </c>
      <c r="M829" s="92">
        <v>53</v>
      </c>
      <c r="N829" s="119" t="str">
        <f>VLOOKUP(M829,'PF Uscite Sp. Corr.'!$C$1:$E$100,2,FALSE)</f>
        <v>Servizi ausiliari per il funzionamento dell'ente</v>
      </c>
      <c r="O829" s="131">
        <v>2551</v>
      </c>
      <c r="P829" s="614" t="str">
        <f>VLOOKUP(O829,'Centri di Costo'!$A$2:$B$179,2,FALSE)</f>
        <v xml:space="preserve">Formazione Professionale - Attività Ordinaria  </v>
      </c>
      <c r="Q829" s="623" t="s">
        <v>2004</v>
      </c>
      <c r="R829" s="642" t="s">
        <v>55</v>
      </c>
    </row>
    <row r="830" spans="1:18" ht="28.5" customHeight="1" outlineLevel="2">
      <c r="A830" s="85" t="s">
        <v>308</v>
      </c>
      <c r="B830" s="402" t="s">
        <v>1879</v>
      </c>
      <c r="C830" s="85" t="s">
        <v>384</v>
      </c>
      <c r="D830" s="148" t="s">
        <v>7</v>
      </c>
      <c r="E830" s="87">
        <v>2018</v>
      </c>
      <c r="F830" s="88">
        <v>100</v>
      </c>
      <c r="G830" s="120" t="s">
        <v>402</v>
      </c>
      <c r="H830" s="581" t="s">
        <v>1336</v>
      </c>
      <c r="I830" s="601">
        <v>0</v>
      </c>
      <c r="J830" s="595" t="s">
        <v>9</v>
      </c>
      <c r="K830" s="91">
        <v>1</v>
      </c>
      <c r="L830" s="91">
        <v>3</v>
      </c>
      <c r="M830" s="92">
        <v>53</v>
      </c>
      <c r="N830" s="119" t="str">
        <f>VLOOKUP(M830,'PF Uscite Sp. Corr.'!$C$1:$E$100,2,FALSE)</f>
        <v>Servizi ausiliari per il funzionamento dell'ente</v>
      </c>
      <c r="O830" s="131">
        <v>2551</v>
      </c>
      <c r="P830" s="614" t="str">
        <f>VLOOKUP(O830,'Centri di Costo'!$A$2:$B$179,2,FALSE)</f>
        <v xml:space="preserve">Formazione Professionale - Attività Ordinaria  </v>
      </c>
      <c r="Q830" s="623" t="s">
        <v>2004</v>
      </c>
      <c r="R830" s="642" t="s">
        <v>403</v>
      </c>
    </row>
    <row r="831" spans="1:18" ht="28.5" customHeight="1" outlineLevel="2">
      <c r="A831" s="85" t="s">
        <v>308</v>
      </c>
      <c r="B831" s="402" t="s">
        <v>1879</v>
      </c>
      <c r="C831" s="85" t="s">
        <v>384</v>
      </c>
      <c r="D831" s="148" t="s">
        <v>7</v>
      </c>
      <c r="E831" s="87">
        <v>2018</v>
      </c>
      <c r="F831" s="88">
        <v>100</v>
      </c>
      <c r="G831" s="120" t="s">
        <v>402</v>
      </c>
      <c r="H831" s="581" t="s">
        <v>1337</v>
      </c>
      <c r="I831" s="601">
        <v>0</v>
      </c>
      <c r="J831" s="595" t="s">
        <v>9</v>
      </c>
      <c r="K831" s="91">
        <v>1</v>
      </c>
      <c r="L831" s="91">
        <v>3</v>
      </c>
      <c r="M831" s="92">
        <v>53</v>
      </c>
      <c r="N831" s="119" t="str">
        <f>VLOOKUP(M831,'PF Uscite Sp. Corr.'!$C$1:$E$100,2,FALSE)</f>
        <v>Servizi ausiliari per il funzionamento dell'ente</v>
      </c>
      <c r="O831" s="131">
        <v>2551</v>
      </c>
      <c r="P831" s="614" t="str">
        <f>VLOOKUP(O831,'Centri di Costo'!$A$2:$B$179,2,FALSE)</f>
        <v xml:space="preserve">Formazione Professionale - Attività Ordinaria  </v>
      </c>
      <c r="Q831" s="623" t="s">
        <v>2004</v>
      </c>
      <c r="R831" s="642" t="s">
        <v>400</v>
      </c>
    </row>
    <row r="832" spans="1:18" ht="28.5" customHeight="1" outlineLevel="2">
      <c r="A832" s="85" t="s">
        <v>308</v>
      </c>
      <c r="B832" s="402" t="s">
        <v>1879</v>
      </c>
      <c r="C832" s="85" t="s">
        <v>384</v>
      </c>
      <c r="D832" s="148" t="s">
        <v>7</v>
      </c>
      <c r="E832" s="87">
        <v>2018</v>
      </c>
      <c r="F832" s="88">
        <v>100</v>
      </c>
      <c r="G832" s="120" t="s">
        <v>402</v>
      </c>
      <c r="H832" s="581" t="s">
        <v>1578</v>
      </c>
      <c r="I832" s="601">
        <v>0</v>
      </c>
      <c r="J832" s="595" t="s">
        <v>9</v>
      </c>
      <c r="K832" s="91">
        <v>1</v>
      </c>
      <c r="L832" s="91">
        <v>3</v>
      </c>
      <c r="M832" s="92">
        <v>53</v>
      </c>
      <c r="N832" s="119" t="str">
        <f>VLOOKUP(M832,'PF Uscite Sp. Corr.'!$C$1:$E$100,2,FALSE)</f>
        <v>Servizi ausiliari per il funzionamento dell'ente</v>
      </c>
      <c r="O832" s="131">
        <v>2551</v>
      </c>
      <c r="P832" s="614" t="str">
        <f>VLOOKUP(O832,'Centri di Costo'!$A$2:$B$179,2,FALSE)</f>
        <v xml:space="preserve">Formazione Professionale - Attività Ordinaria  </v>
      </c>
      <c r="Q832" s="623" t="s">
        <v>2004</v>
      </c>
      <c r="R832" s="642" t="s">
        <v>83</v>
      </c>
    </row>
    <row r="833" spans="1:18" ht="28.5" customHeight="1" outlineLevel="2">
      <c r="A833" s="85" t="s">
        <v>308</v>
      </c>
      <c r="B833" s="402" t="s">
        <v>1879</v>
      </c>
      <c r="C833" s="85" t="s">
        <v>384</v>
      </c>
      <c r="D833" s="508" t="s">
        <v>561</v>
      </c>
      <c r="E833" s="87">
        <v>2018</v>
      </c>
      <c r="F833" s="88">
        <v>101</v>
      </c>
      <c r="G833" s="120" t="s">
        <v>567</v>
      </c>
      <c r="H833" s="581" t="s">
        <v>568</v>
      </c>
      <c r="I833" s="601">
        <v>3000</v>
      </c>
      <c r="J833" s="595" t="s">
        <v>9</v>
      </c>
      <c r="K833" s="91">
        <v>1</v>
      </c>
      <c r="L833" s="91">
        <v>3</v>
      </c>
      <c r="M833" s="92">
        <v>53</v>
      </c>
      <c r="N833" s="119" t="str">
        <f>VLOOKUP(M833,'PF Uscite Sp. Corr.'!$C$1:$E$100,2,FALSE)</f>
        <v>Servizi ausiliari per il funzionamento dell'ente</v>
      </c>
      <c r="O833" s="131">
        <v>2551</v>
      </c>
      <c r="P833" s="614" t="str">
        <f>VLOOKUP(O833,'Centri di Costo'!$A$2:$B$179,2,FALSE)</f>
        <v xml:space="preserve">Formazione Professionale - Attività Ordinaria  </v>
      </c>
      <c r="Q833" s="623" t="s">
        <v>2004</v>
      </c>
      <c r="R833" s="640" t="s">
        <v>83</v>
      </c>
    </row>
    <row r="834" spans="1:18" ht="28.5" customHeight="1" outlineLevel="2">
      <c r="A834" s="85" t="s">
        <v>308</v>
      </c>
      <c r="B834" s="402" t="s">
        <v>1879</v>
      </c>
      <c r="C834" s="85" t="s">
        <v>384</v>
      </c>
      <c r="D834" s="508" t="s">
        <v>561</v>
      </c>
      <c r="E834" s="87">
        <v>2018</v>
      </c>
      <c r="F834" s="88">
        <v>101</v>
      </c>
      <c r="G834" s="120" t="s">
        <v>567</v>
      </c>
      <c r="H834" s="581" t="s">
        <v>572</v>
      </c>
      <c r="I834" s="601">
        <v>1000</v>
      </c>
      <c r="J834" s="595" t="s">
        <v>9</v>
      </c>
      <c r="K834" s="91">
        <v>1</v>
      </c>
      <c r="L834" s="91">
        <v>3</v>
      </c>
      <c r="M834" s="92">
        <v>53</v>
      </c>
      <c r="N834" s="119" t="str">
        <f>VLOOKUP(M834,'PF Uscite Sp. Corr.'!$C$1:$E$100,2,FALSE)</f>
        <v>Servizi ausiliari per il funzionamento dell'ente</v>
      </c>
      <c r="O834" s="131">
        <v>2551</v>
      </c>
      <c r="P834" s="614" t="str">
        <f>VLOOKUP(O834,'Centri di Costo'!$A$2:$B$179,2,FALSE)</f>
        <v xml:space="preserve">Formazione Professionale - Attività Ordinaria  </v>
      </c>
      <c r="Q834" s="623" t="s">
        <v>2004</v>
      </c>
      <c r="R834" s="640" t="s">
        <v>403</v>
      </c>
    </row>
    <row r="835" spans="1:18" ht="28.5" customHeight="1" outlineLevel="2">
      <c r="A835" s="85" t="s">
        <v>308</v>
      </c>
      <c r="B835" s="402" t="s">
        <v>1879</v>
      </c>
      <c r="C835" s="85" t="s">
        <v>384</v>
      </c>
      <c r="D835" s="508" t="s">
        <v>561</v>
      </c>
      <c r="E835" s="87">
        <v>2018</v>
      </c>
      <c r="F835" s="88">
        <v>101</v>
      </c>
      <c r="G835" s="120" t="s">
        <v>567</v>
      </c>
      <c r="H835" s="581" t="s">
        <v>573</v>
      </c>
      <c r="I835" s="601">
        <v>1500</v>
      </c>
      <c r="J835" s="595" t="s">
        <v>9</v>
      </c>
      <c r="K835" s="91">
        <v>1</v>
      </c>
      <c r="L835" s="91">
        <v>3</v>
      </c>
      <c r="M835" s="92">
        <v>53</v>
      </c>
      <c r="N835" s="119" t="str">
        <f>VLOOKUP(M835,'PF Uscite Sp. Corr.'!$C$1:$E$100,2,FALSE)</f>
        <v>Servizi ausiliari per il funzionamento dell'ente</v>
      </c>
      <c r="O835" s="131">
        <v>2551</v>
      </c>
      <c r="P835" s="614" t="str">
        <f>VLOOKUP(O835,'Centri di Costo'!$A$2:$B$179,2,FALSE)</f>
        <v xml:space="preserve">Formazione Professionale - Attività Ordinaria  </v>
      </c>
      <c r="Q835" s="623" t="s">
        <v>2004</v>
      </c>
      <c r="R835" s="640" t="s">
        <v>400</v>
      </c>
    </row>
    <row r="836" spans="1:18" s="139" customFormat="1" ht="27" customHeight="1" outlineLevel="2">
      <c r="A836" s="115" t="s">
        <v>308</v>
      </c>
      <c r="B836" s="404" t="s">
        <v>1879</v>
      </c>
      <c r="C836" s="115" t="s">
        <v>384</v>
      </c>
      <c r="D836" s="510" t="s">
        <v>561</v>
      </c>
      <c r="E836" s="412">
        <v>2018</v>
      </c>
      <c r="F836" s="413">
        <v>101</v>
      </c>
      <c r="G836" s="123" t="s">
        <v>567</v>
      </c>
      <c r="H836" s="583" t="s">
        <v>570</v>
      </c>
      <c r="I836" s="603">
        <v>1000</v>
      </c>
      <c r="J836" s="596" t="s">
        <v>9</v>
      </c>
      <c r="K836" s="216">
        <v>1</v>
      </c>
      <c r="L836" s="216">
        <v>3</v>
      </c>
      <c r="M836" s="418">
        <v>54</v>
      </c>
      <c r="N836" s="118" t="str">
        <f>VLOOKUP(M836,'PF Uscite Sp. Corr.'!$C$1:$E$100,2,FALSE)</f>
        <v>Servizi di ristorazione</v>
      </c>
      <c r="O836" s="419">
        <v>2551</v>
      </c>
      <c r="P836" s="615" t="str">
        <f>VLOOKUP(O836,'Centri di Costo'!$A$2:$B$179,2,FALSE)</f>
        <v xml:space="preserve">Formazione Professionale - Attività Ordinaria  </v>
      </c>
      <c r="Q836" s="623" t="s">
        <v>2004</v>
      </c>
      <c r="R836" s="643" t="s">
        <v>571</v>
      </c>
    </row>
    <row r="837" spans="1:18" s="215" customFormat="1" ht="20.25" customHeight="1" outlineLevel="1" collapsed="1">
      <c r="A837" s="160"/>
      <c r="B837" s="433" t="s">
        <v>1917</v>
      </c>
      <c r="C837" s="161"/>
      <c r="D837" s="525"/>
      <c r="E837" s="438"/>
      <c r="F837" s="438"/>
      <c r="G837" s="441" t="s">
        <v>1938</v>
      </c>
      <c r="H837" s="214" t="s">
        <v>1960</v>
      </c>
      <c r="I837" s="605">
        <f>SUBTOTAL(9,I812:I836)</f>
        <v>90000</v>
      </c>
      <c r="J837" s="212"/>
      <c r="K837" s="179"/>
      <c r="L837" s="179"/>
      <c r="M837" s="213"/>
      <c r="N837" s="434"/>
      <c r="O837" s="439"/>
      <c r="P837" s="435"/>
      <c r="Q837" s="625"/>
      <c r="R837" s="655"/>
    </row>
    <row r="838" spans="1:18" s="139" customFormat="1" ht="54.75" customHeight="1" outlineLevel="2">
      <c r="A838" s="396" t="s">
        <v>89</v>
      </c>
      <c r="B838" s="404">
        <v>29</v>
      </c>
      <c r="C838" s="396" t="s">
        <v>150</v>
      </c>
      <c r="D838" s="421" t="s">
        <v>7</v>
      </c>
      <c r="E838" s="422">
        <v>2018</v>
      </c>
      <c r="F838" s="423">
        <v>228</v>
      </c>
      <c r="G838" s="208" t="s">
        <v>157</v>
      </c>
      <c r="H838" s="124" t="s">
        <v>2006</v>
      </c>
      <c r="I838" s="604">
        <v>5000</v>
      </c>
      <c r="J838" s="597" t="s">
        <v>9</v>
      </c>
      <c r="K838" s="248">
        <v>1</v>
      </c>
      <c r="L838" s="248">
        <v>10</v>
      </c>
      <c r="M838" s="249">
        <v>96</v>
      </c>
      <c r="N838" s="415" t="str">
        <f>VLOOKUP(M838,'PF Uscite Sp. Corr.'!$C$1:$E$100,2,FALSE)</f>
        <v>Altre spese correnti n.a.c.</v>
      </c>
      <c r="O838" s="424">
        <v>2991</v>
      </c>
      <c r="P838" s="616" t="str">
        <f>VLOOKUP(O838,'Centri di Costo'!$A$2:$B$179,2,FALSE)</f>
        <v>Fondo per la Sicurezza -  Sez. Innovaz.</v>
      </c>
      <c r="Q838" s="623" t="s">
        <v>2004</v>
      </c>
      <c r="R838" s="646" t="s">
        <v>34</v>
      </c>
    </row>
    <row r="839" spans="1:18" s="215" customFormat="1" ht="20.25" customHeight="1" outlineLevel="1" collapsed="1">
      <c r="A839" s="160"/>
      <c r="B839" s="433" t="s">
        <v>1918</v>
      </c>
      <c r="C839" s="161"/>
      <c r="D839" s="437"/>
      <c r="E839" s="438"/>
      <c r="F839" s="438"/>
      <c r="G839" s="441" t="s">
        <v>1938</v>
      </c>
      <c r="H839" s="214" t="s">
        <v>1961</v>
      </c>
      <c r="I839" s="605">
        <f>SUBTOTAL(9,I838:I838)</f>
        <v>5000</v>
      </c>
      <c r="J839" s="212"/>
      <c r="K839" s="179"/>
      <c r="L839" s="179"/>
      <c r="M839" s="213"/>
      <c r="N839" s="434"/>
      <c r="O839" s="439"/>
      <c r="P839" s="435"/>
      <c r="Q839" s="620"/>
      <c r="R839" s="645"/>
    </row>
    <row r="840" spans="1:18" s="205" customFormat="1" ht="13.5" customHeight="1">
      <c r="A840" s="535"/>
      <c r="B840" s="536"/>
      <c r="C840" s="537"/>
      <c r="D840" s="537"/>
      <c r="E840" s="537"/>
      <c r="F840" s="540"/>
      <c r="G840" s="537" t="str">
        <f>C841</f>
        <v>SETTORE UFFICIO STAMPA, COMUNICAZIONE, EUROPE DIRECT  VENETO</v>
      </c>
      <c r="H840" s="537"/>
      <c r="I840" s="599"/>
      <c r="J840" s="537"/>
      <c r="K840" s="537"/>
      <c r="L840" s="537"/>
      <c r="M840" s="537"/>
      <c r="N840" s="537"/>
      <c r="O840" s="538"/>
      <c r="P840" s="539"/>
      <c r="Q840" s="618"/>
      <c r="R840" s="638"/>
    </row>
    <row r="841" spans="1:18" ht="28.5" customHeight="1" outlineLevel="2">
      <c r="A841" s="94" t="s">
        <v>5</v>
      </c>
      <c r="B841" s="402">
        <v>42</v>
      </c>
      <c r="C841" s="94" t="s">
        <v>6</v>
      </c>
      <c r="D841" s="149" t="s">
        <v>7</v>
      </c>
      <c r="E841" s="101">
        <v>2018</v>
      </c>
      <c r="F841" s="102">
        <v>160</v>
      </c>
      <c r="G841" s="121" t="s">
        <v>8</v>
      </c>
      <c r="H841" s="580" t="s">
        <v>11</v>
      </c>
      <c r="I841" s="600">
        <v>13000</v>
      </c>
      <c r="J841" s="594" t="s">
        <v>9</v>
      </c>
      <c r="K841" s="99">
        <v>1</v>
      </c>
      <c r="L841" s="99">
        <v>3</v>
      </c>
      <c r="M841" s="113">
        <v>43</v>
      </c>
      <c r="N841" s="128" t="str">
        <f>VLOOKUP(M841,'PF Uscite Sp. Corr.'!$C$1:$E$100,2,FALSE)</f>
        <v>Rappresentanza, Organizzazione Eventi, Pubblicità</v>
      </c>
      <c r="O841" s="132">
        <v>4201</v>
      </c>
      <c r="P841" s="613" t="str">
        <f>VLOOKUP(O841,'Centri di Costo'!$A$2:$B$179,2,FALSE)</f>
        <v>Att. Ord. Uff. Stampa - Comunicaz. Istituzionale</v>
      </c>
      <c r="Q841" s="619" t="s">
        <v>2009</v>
      </c>
      <c r="R841" s="639" t="s">
        <v>12</v>
      </c>
    </row>
    <row r="842" spans="1:18" ht="28.5" customHeight="1" outlineLevel="2">
      <c r="A842" s="85" t="s">
        <v>5</v>
      </c>
      <c r="B842" s="400">
        <v>42</v>
      </c>
      <c r="C842" s="85" t="s">
        <v>6</v>
      </c>
      <c r="D842" s="148" t="s">
        <v>7</v>
      </c>
      <c r="E842" s="87">
        <v>2018</v>
      </c>
      <c r="F842" s="88">
        <v>160</v>
      </c>
      <c r="G842" s="120" t="s">
        <v>8</v>
      </c>
      <c r="H842" s="581" t="s">
        <v>1332</v>
      </c>
      <c r="I842" s="601">
        <v>2000</v>
      </c>
      <c r="J842" s="595" t="s">
        <v>9</v>
      </c>
      <c r="K842" s="91">
        <v>1</v>
      </c>
      <c r="L842" s="91">
        <v>3</v>
      </c>
      <c r="M842" s="92">
        <v>54</v>
      </c>
      <c r="N842" s="119" t="str">
        <f>VLOOKUP(M842,'PF Uscite Sp. Corr.'!$C$1:$E$100,2,FALSE)</f>
        <v>Servizi di ristorazione</v>
      </c>
      <c r="O842" s="131">
        <v>4201</v>
      </c>
      <c r="P842" s="614" t="str">
        <f>VLOOKUP(O842,'Centri di Costo'!$A$2:$B$179,2,FALSE)</f>
        <v>Att. Ord. Uff. Stampa - Comunicaz. Istituzionale</v>
      </c>
      <c r="Q842" s="619" t="s">
        <v>2009</v>
      </c>
      <c r="R842" s="642" t="s">
        <v>14</v>
      </c>
    </row>
    <row r="843" spans="1:18" ht="28.5" customHeight="1" outlineLevel="2">
      <c r="A843" s="85" t="s">
        <v>5</v>
      </c>
      <c r="B843" s="400">
        <v>42</v>
      </c>
      <c r="C843" s="85" t="s">
        <v>6</v>
      </c>
      <c r="D843" s="148" t="s">
        <v>7</v>
      </c>
      <c r="E843" s="87">
        <v>2018</v>
      </c>
      <c r="F843" s="88">
        <v>160</v>
      </c>
      <c r="G843" s="120" t="s">
        <v>8</v>
      </c>
      <c r="H843" s="581" t="s">
        <v>15</v>
      </c>
      <c r="I843" s="601">
        <v>5000</v>
      </c>
      <c r="J843" s="595" t="s">
        <v>9</v>
      </c>
      <c r="K843" s="91">
        <v>1</v>
      </c>
      <c r="L843" s="91">
        <v>3</v>
      </c>
      <c r="M843" s="92">
        <v>55</v>
      </c>
      <c r="N843" s="119" t="str">
        <f>VLOOKUP(M843,'PF Uscite Sp. Corr.'!$C$1:$E$100,2,FALSE)</f>
        <v>Altri servizi</v>
      </c>
      <c r="O843" s="131">
        <v>4206</v>
      </c>
      <c r="P843" s="614" t="str">
        <f>VLOOKUP(O843,'Centri di Costo'!$A$2:$B$179,2,FALSE)</f>
        <v>Att. Ord. Uff. Stampa - Rassegna Stampa</v>
      </c>
      <c r="Q843" s="619" t="s">
        <v>2009</v>
      </c>
      <c r="R843" s="642" t="s">
        <v>16</v>
      </c>
    </row>
    <row r="844" spans="1:18" ht="28.5" customHeight="1" outlineLevel="2">
      <c r="A844" s="85" t="s">
        <v>5</v>
      </c>
      <c r="B844" s="400">
        <v>42</v>
      </c>
      <c r="C844" s="85" t="s">
        <v>6</v>
      </c>
      <c r="D844" s="148" t="s">
        <v>7</v>
      </c>
      <c r="E844" s="87">
        <v>2018</v>
      </c>
      <c r="F844" s="88">
        <v>160</v>
      </c>
      <c r="G844" s="120" t="s">
        <v>8</v>
      </c>
      <c r="H844" s="581" t="s">
        <v>17</v>
      </c>
      <c r="I844" s="601">
        <v>5000</v>
      </c>
      <c r="J844" s="595" t="s">
        <v>9</v>
      </c>
      <c r="K844" s="91">
        <v>1</v>
      </c>
      <c r="L844" s="91">
        <v>3</v>
      </c>
      <c r="M844" s="92">
        <v>31</v>
      </c>
      <c r="N844" s="119" t="str">
        <f>VLOOKUP(M844,'PF Uscite Sp. Corr.'!$C$1:$E$100,2,FALSE)</f>
        <v>Giornali, riviste e pubblicazioni</v>
      </c>
      <c r="O844" s="131">
        <v>4207</v>
      </c>
      <c r="P844" s="614" t="str">
        <f>VLOOKUP(O844,'Centri di Costo'!$A$2:$B$179,2,FALSE)</f>
        <v>Att. Ord. Uff. Stampa - Abbonamenti</v>
      </c>
      <c r="Q844" s="619" t="s">
        <v>2009</v>
      </c>
      <c r="R844" s="642" t="s">
        <v>18</v>
      </c>
    </row>
    <row r="845" spans="1:18" ht="28.5" customHeight="1" outlineLevel="2">
      <c r="A845" s="85" t="s">
        <v>5</v>
      </c>
      <c r="B845" s="400">
        <v>42</v>
      </c>
      <c r="C845" s="85" t="s">
        <v>6</v>
      </c>
      <c r="D845" s="148" t="s">
        <v>7</v>
      </c>
      <c r="E845" s="87">
        <v>2018</v>
      </c>
      <c r="F845" s="88">
        <v>160</v>
      </c>
      <c r="G845" s="120" t="s">
        <v>8</v>
      </c>
      <c r="H845" s="581" t="s">
        <v>1995</v>
      </c>
      <c r="I845" s="601">
        <v>18000</v>
      </c>
      <c r="J845" s="595" t="s">
        <v>9</v>
      </c>
      <c r="K845" s="91">
        <v>1</v>
      </c>
      <c r="L845" s="91">
        <v>3</v>
      </c>
      <c r="M845" s="92">
        <v>52</v>
      </c>
      <c r="N845" s="119" t="str">
        <f>VLOOKUP(M845,'PF Uscite Sp. Corr.'!$C$1:$E$100,2,FALSE)</f>
        <v>Lavoro flessibile, quota LSU e acquisto di servizi da agenzie di lavoro interinale</v>
      </c>
      <c r="O845" s="131">
        <v>4201</v>
      </c>
      <c r="P845" s="614" t="str">
        <f>VLOOKUP(O845,'Centri di Costo'!$A$2:$B$179,2,FALSE)</f>
        <v>Att. Ord. Uff. Stampa - Comunicaz. Istituzionale</v>
      </c>
      <c r="Q845" s="619" t="s">
        <v>2014</v>
      </c>
      <c r="R845" s="642" t="s">
        <v>19</v>
      </c>
    </row>
    <row r="846" spans="1:18" s="139" customFormat="1" ht="28.5" customHeight="1" outlineLevel="2">
      <c r="A846" s="115" t="s">
        <v>5</v>
      </c>
      <c r="B846" s="401">
        <v>42</v>
      </c>
      <c r="C846" s="115" t="s">
        <v>6</v>
      </c>
      <c r="D846" s="417" t="s">
        <v>7</v>
      </c>
      <c r="E846" s="412">
        <v>2018</v>
      </c>
      <c r="F846" s="413">
        <v>177</v>
      </c>
      <c r="G846" s="123" t="s">
        <v>20</v>
      </c>
      <c r="H846" s="583" t="s">
        <v>1331</v>
      </c>
      <c r="I846" s="603">
        <v>35000</v>
      </c>
      <c r="J846" s="596" t="s">
        <v>9</v>
      </c>
      <c r="K846" s="216">
        <v>1</v>
      </c>
      <c r="L846" s="216">
        <v>3</v>
      </c>
      <c r="M846" s="418">
        <v>43</v>
      </c>
      <c r="N846" s="118" t="str">
        <f>VLOOKUP(M846,'PF Uscite Sp. Corr.'!$C$1:$E$100,2,FALSE)</f>
        <v>Rappresentanza, Organizzazione Eventi, Pubblicità</v>
      </c>
      <c r="O846" s="419">
        <v>4202</v>
      </c>
      <c r="P846" s="615" t="str">
        <f>VLOOKUP(O846,'Centri di Costo'!$A$2:$B$179,2,FALSE)</f>
        <v>Att. Ord. Uff. Stampa - Partecipaz. Fiere</v>
      </c>
      <c r="Q846" s="619" t="s">
        <v>2009</v>
      </c>
      <c r="R846" s="648" t="s">
        <v>21</v>
      </c>
    </row>
    <row r="847" spans="1:18" s="215" customFormat="1" ht="20.25" customHeight="1" outlineLevel="1" collapsed="1">
      <c r="A847" s="160"/>
      <c r="B847" s="433" t="s">
        <v>1919</v>
      </c>
      <c r="C847" s="161"/>
      <c r="D847" s="437"/>
      <c r="E847" s="438"/>
      <c r="F847" s="438"/>
      <c r="G847" s="441" t="s">
        <v>1938</v>
      </c>
      <c r="H847" s="214" t="s">
        <v>1962</v>
      </c>
      <c r="I847" s="605">
        <f>SUBTOTAL(9,I841:I846)</f>
        <v>78000</v>
      </c>
      <c r="J847" s="212"/>
      <c r="K847" s="179"/>
      <c r="L847" s="179"/>
      <c r="M847" s="213"/>
      <c r="N847" s="434"/>
      <c r="O847" s="439"/>
      <c r="P847" s="435"/>
      <c r="Q847" s="620"/>
      <c r="R847" s="645"/>
    </row>
    <row r="848" spans="1:18" s="205" customFormat="1" ht="13.5" customHeight="1">
      <c r="A848" s="535"/>
      <c r="B848" s="536"/>
      <c r="C848" s="537"/>
      <c r="D848" s="537"/>
      <c r="E848" s="537"/>
      <c r="F848" s="540"/>
      <c r="G848" s="537" t="str">
        <f>C849</f>
        <v>STAFF DEL DIRETTORE DELL'AGENZIA</v>
      </c>
      <c r="H848" s="540" t="s">
        <v>1991</v>
      </c>
      <c r="I848" s="599"/>
      <c r="J848" s="537"/>
      <c r="K848" s="537"/>
      <c r="L848" s="537"/>
      <c r="M848" s="537"/>
      <c r="N848" s="537"/>
      <c r="O848" s="538"/>
      <c r="P848" s="539"/>
      <c r="Q848" s="618"/>
      <c r="R848" s="638"/>
    </row>
    <row r="849" spans="1:18" ht="28.5" customHeight="1" outlineLevel="2">
      <c r="A849" s="94" t="s">
        <v>5</v>
      </c>
      <c r="B849" s="402" t="s">
        <v>1881</v>
      </c>
      <c r="C849" s="94" t="s">
        <v>32</v>
      </c>
      <c r="D849" s="149" t="s">
        <v>7</v>
      </c>
      <c r="E849" s="101">
        <v>2018</v>
      </c>
      <c r="F849" s="102">
        <v>262</v>
      </c>
      <c r="G849" s="121" t="s">
        <v>43</v>
      </c>
      <c r="H849" s="580" t="s">
        <v>44</v>
      </c>
      <c r="I849" s="600">
        <v>25000</v>
      </c>
      <c r="J849" s="594" t="s">
        <v>9</v>
      </c>
      <c r="K849" s="99">
        <v>1</v>
      </c>
      <c r="L849" s="99">
        <v>3</v>
      </c>
      <c r="M849" s="113">
        <v>55</v>
      </c>
      <c r="N849" s="128" t="str">
        <f>VLOOKUP(M849,'PF Uscite Sp. Corr.'!$C$1:$E$100,2,FALSE)</f>
        <v>Altri servizi</v>
      </c>
      <c r="O849" s="132">
        <v>4971</v>
      </c>
      <c r="P849" s="613" t="str">
        <f>VLOOKUP(O849,'Centri di Costo'!$A$2:$B$179,2,FALSE)</f>
        <v>Staff del Direttore - Ufficio Legale</v>
      </c>
      <c r="Q849" s="619" t="s">
        <v>2010</v>
      </c>
      <c r="R849" s="639" t="s">
        <v>45</v>
      </c>
    </row>
    <row r="850" spans="1:18" ht="28.5" customHeight="1" outlineLevel="2">
      <c r="A850" s="85" t="s">
        <v>5</v>
      </c>
      <c r="B850" s="402" t="s">
        <v>1881</v>
      </c>
      <c r="C850" s="85" t="s">
        <v>32</v>
      </c>
      <c r="D850" s="148" t="s">
        <v>7</v>
      </c>
      <c r="E850" s="87">
        <v>2018</v>
      </c>
      <c r="F850" s="88">
        <v>262</v>
      </c>
      <c r="G850" s="120" t="s">
        <v>43</v>
      </c>
      <c r="H850" s="581" t="s">
        <v>46</v>
      </c>
      <c r="I850" s="601">
        <v>4000</v>
      </c>
      <c r="J850" s="595" t="s">
        <v>9</v>
      </c>
      <c r="K850" s="91">
        <v>1</v>
      </c>
      <c r="L850" s="91">
        <v>2</v>
      </c>
      <c r="M850" s="92">
        <v>12</v>
      </c>
      <c r="N850" s="119" t="str">
        <f>VLOOKUP(M850,'PF Uscite Sp. Corr.'!$C$1:$E$100,2,FALSE)</f>
        <v>Imposta di registro e di bollo</v>
      </c>
      <c r="O850" s="131">
        <v>4971</v>
      </c>
      <c r="P850" s="614" t="str">
        <f>VLOOKUP(O850,'Centri di Costo'!$A$2:$B$179,2,FALSE)</f>
        <v>Staff del Direttore - Ufficio Legale</v>
      </c>
      <c r="Q850" s="622" t="s">
        <v>1844</v>
      </c>
      <c r="R850" s="642" t="s">
        <v>47</v>
      </c>
    </row>
    <row r="851" spans="1:18" s="139" customFormat="1" ht="28.5" customHeight="1" outlineLevel="2">
      <c r="A851" s="115" t="s">
        <v>5</v>
      </c>
      <c r="B851" s="404" t="s">
        <v>1881</v>
      </c>
      <c r="C851" s="115" t="s">
        <v>32</v>
      </c>
      <c r="D851" s="417" t="s">
        <v>7</v>
      </c>
      <c r="E851" s="412">
        <v>2018</v>
      </c>
      <c r="F851" s="413">
        <v>262</v>
      </c>
      <c r="G851" s="123" t="s">
        <v>43</v>
      </c>
      <c r="H851" s="583" t="s">
        <v>48</v>
      </c>
      <c r="I851" s="603">
        <v>1000</v>
      </c>
      <c r="J851" s="596" t="s">
        <v>9</v>
      </c>
      <c r="K851" s="216">
        <v>1</v>
      </c>
      <c r="L851" s="216">
        <v>2</v>
      </c>
      <c r="M851" s="418">
        <v>29</v>
      </c>
      <c r="N851" s="118" t="str">
        <f>VLOOKUP(M851,'PF Uscite Sp. Corr.'!$C$1:$E$100,2,FALSE)</f>
        <v>Imposte, tasse e proventi assimilati a carico dell'ente n.a.c.</v>
      </c>
      <c r="O851" s="419">
        <v>4971</v>
      </c>
      <c r="P851" s="615" t="str">
        <f>VLOOKUP(O851,'Centri di Costo'!$A$2:$B$179,2,FALSE)</f>
        <v>Staff del Direttore - Ufficio Legale</v>
      </c>
      <c r="Q851" s="622" t="s">
        <v>1844</v>
      </c>
      <c r="R851" s="648" t="s">
        <v>49</v>
      </c>
    </row>
    <row r="852" spans="1:18" s="215" customFormat="1" ht="20.25" customHeight="1" outlineLevel="1" collapsed="1">
      <c r="A852" s="160"/>
      <c r="B852" s="433" t="s">
        <v>1920</v>
      </c>
      <c r="C852" s="161"/>
      <c r="D852" s="437"/>
      <c r="E852" s="438"/>
      <c r="F852" s="438"/>
      <c r="G852" s="441" t="s">
        <v>1938</v>
      </c>
      <c r="H852" s="214" t="s">
        <v>1963</v>
      </c>
      <c r="I852" s="605">
        <f>SUBTOTAL(9,I849:I851)</f>
        <v>30000</v>
      </c>
      <c r="J852" s="212"/>
      <c r="K852" s="179"/>
      <c r="L852" s="179"/>
      <c r="M852" s="213"/>
      <c r="N852" s="434"/>
      <c r="O852" s="439"/>
      <c r="P852" s="435"/>
      <c r="Q852" s="620"/>
      <c r="R852" s="645"/>
    </row>
    <row r="853" spans="1:18" s="205" customFormat="1" ht="13.5" customHeight="1">
      <c r="A853" s="535"/>
      <c r="B853" s="536"/>
      <c r="C853" s="537"/>
      <c r="D853" s="537"/>
      <c r="E853" s="537"/>
      <c r="F853" s="540"/>
      <c r="G853" s="537" t="str">
        <f>C854</f>
        <v>STAFF DEL DIRETTORE DELL'AGENZIA</v>
      </c>
      <c r="H853" s="540" t="s">
        <v>1992</v>
      </c>
      <c r="I853" s="599"/>
      <c r="J853" s="537"/>
      <c r="K853" s="537"/>
      <c r="L853" s="537"/>
      <c r="M853" s="537"/>
      <c r="N853" s="537"/>
      <c r="O853" s="538"/>
      <c r="P853" s="539"/>
      <c r="Q853" s="618"/>
      <c r="R853" s="638"/>
    </row>
    <row r="854" spans="1:18" ht="28.5" customHeight="1" outlineLevel="2">
      <c r="A854" s="94" t="s">
        <v>5</v>
      </c>
      <c r="B854" s="402" t="s">
        <v>1880</v>
      </c>
      <c r="C854" s="94" t="s">
        <v>32</v>
      </c>
      <c r="D854" s="149" t="s">
        <v>7</v>
      </c>
      <c r="E854" s="101">
        <v>2018</v>
      </c>
      <c r="F854" s="102">
        <v>106</v>
      </c>
      <c r="G854" s="121" t="s">
        <v>50</v>
      </c>
      <c r="H854" s="580" t="s">
        <v>70</v>
      </c>
      <c r="I854" s="600">
        <v>2790</v>
      </c>
      <c r="J854" s="594" t="s">
        <v>9</v>
      </c>
      <c r="K854" s="99">
        <v>1</v>
      </c>
      <c r="L854" s="99">
        <v>2</v>
      </c>
      <c r="M854" s="113">
        <v>16</v>
      </c>
      <c r="N854" s="128" t="str">
        <f>VLOOKUP(M854,'PF Uscite Sp. Corr.'!$C$1:$E$100,2,FALSE)</f>
        <v>Tassa e/o tariffa smaltimento rifiuti solidi urbani</v>
      </c>
      <c r="O854" s="132">
        <v>2558</v>
      </c>
      <c r="P854" s="613" t="str">
        <f>VLOOKUP(O854,'Centri di Costo'!$A$2:$B$179,2,FALSE)</f>
        <v>Spese Generali Corte Benedettina</v>
      </c>
      <c r="Q854" s="622" t="s">
        <v>1844</v>
      </c>
      <c r="R854" s="639" t="s">
        <v>71</v>
      </c>
    </row>
    <row r="855" spans="1:18" ht="31.5" customHeight="1" outlineLevel="2">
      <c r="A855" s="85" t="s">
        <v>5</v>
      </c>
      <c r="B855" s="402" t="s">
        <v>1880</v>
      </c>
      <c r="C855" s="85" t="s">
        <v>32</v>
      </c>
      <c r="D855" s="148" t="s">
        <v>7</v>
      </c>
      <c r="E855" s="87">
        <v>2018</v>
      </c>
      <c r="F855" s="88">
        <v>106</v>
      </c>
      <c r="G855" s="120" t="s">
        <v>50</v>
      </c>
      <c r="H855" s="581" t="s">
        <v>68</v>
      </c>
      <c r="I855" s="601">
        <v>1500</v>
      </c>
      <c r="J855" s="595" t="s">
        <v>9</v>
      </c>
      <c r="K855" s="91">
        <v>1</v>
      </c>
      <c r="L855" s="91">
        <v>2</v>
      </c>
      <c r="M855" s="92">
        <v>29</v>
      </c>
      <c r="N855" s="119" t="str">
        <f>VLOOKUP(M855,'PF Uscite Sp. Corr.'!$C$1:$E$100,2,FALSE)</f>
        <v>Imposte, tasse e proventi assimilati a carico dell'ente n.a.c.</v>
      </c>
      <c r="O855" s="131">
        <v>2558</v>
      </c>
      <c r="P855" s="614" t="str">
        <f>VLOOKUP(O855,'Centri di Costo'!$A$2:$B$179,2,FALSE)</f>
        <v>Spese Generali Corte Benedettina</v>
      </c>
      <c r="Q855" s="622" t="s">
        <v>1844</v>
      </c>
      <c r="R855" s="642" t="s">
        <v>69</v>
      </c>
    </row>
    <row r="856" spans="1:18" ht="28.5" customHeight="1" outlineLevel="2">
      <c r="A856" s="85" t="s">
        <v>5</v>
      </c>
      <c r="B856" s="402" t="s">
        <v>1880</v>
      </c>
      <c r="C856" s="85" t="s">
        <v>32</v>
      </c>
      <c r="D856" s="148" t="s">
        <v>7</v>
      </c>
      <c r="E856" s="87">
        <v>2018</v>
      </c>
      <c r="F856" s="88">
        <v>106</v>
      </c>
      <c r="G856" s="120" t="s">
        <v>50</v>
      </c>
      <c r="H856" s="581" t="s">
        <v>57</v>
      </c>
      <c r="I856" s="601">
        <v>7500</v>
      </c>
      <c r="J856" s="595" t="s">
        <v>9</v>
      </c>
      <c r="K856" s="91">
        <v>1</v>
      </c>
      <c r="L856" s="91">
        <v>3</v>
      </c>
      <c r="M856" s="92">
        <v>45</v>
      </c>
      <c r="N856" s="119" t="str">
        <f>VLOOKUP(M856,'PF Uscite Sp. Corr.'!$C$1:$E$100,2,FALSE)</f>
        <v>Utenze e canoni</v>
      </c>
      <c r="O856" s="131">
        <v>2558</v>
      </c>
      <c r="P856" s="614" t="str">
        <f>VLOOKUP(O856,'Centri di Costo'!$A$2:$B$179,2,FALSE)</f>
        <v>Spese Generali Corte Benedettina</v>
      </c>
      <c r="Q856" s="624" t="s">
        <v>2014</v>
      </c>
      <c r="R856" s="642" t="s">
        <v>58</v>
      </c>
    </row>
    <row r="857" spans="1:18" ht="28.5" customHeight="1" outlineLevel="2">
      <c r="A857" s="85" t="s">
        <v>5</v>
      </c>
      <c r="B857" s="402" t="s">
        <v>1880</v>
      </c>
      <c r="C857" s="85" t="s">
        <v>32</v>
      </c>
      <c r="D857" s="148" t="s">
        <v>7</v>
      </c>
      <c r="E857" s="87">
        <v>2018</v>
      </c>
      <c r="F857" s="88">
        <v>106</v>
      </c>
      <c r="G857" s="120" t="s">
        <v>50</v>
      </c>
      <c r="H857" s="581" t="s">
        <v>62</v>
      </c>
      <c r="I857" s="601">
        <v>8100</v>
      </c>
      <c r="J857" s="595" t="s">
        <v>9</v>
      </c>
      <c r="K857" s="91">
        <v>1</v>
      </c>
      <c r="L857" s="91">
        <v>3</v>
      </c>
      <c r="M857" s="92">
        <v>45</v>
      </c>
      <c r="N857" s="119" t="str">
        <f>VLOOKUP(M857,'PF Uscite Sp. Corr.'!$C$1:$E$100,2,FALSE)</f>
        <v>Utenze e canoni</v>
      </c>
      <c r="O857" s="131">
        <v>2558</v>
      </c>
      <c r="P857" s="614" t="str">
        <f>VLOOKUP(O857,'Centri di Costo'!$A$2:$B$179,2,FALSE)</f>
        <v>Spese Generali Corte Benedettina</v>
      </c>
      <c r="Q857" s="624" t="s">
        <v>2014</v>
      </c>
      <c r="R857" s="642" t="s">
        <v>63</v>
      </c>
    </row>
    <row r="858" spans="1:18" ht="28.5" customHeight="1" outlineLevel="2">
      <c r="A858" s="85" t="s">
        <v>5</v>
      </c>
      <c r="B858" s="402" t="s">
        <v>1880</v>
      </c>
      <c r="C858" s="85" t="s">
        <v>32</v>
      </c>
      <c r="D858" s="148" t="s">
        <v>7</v>
      </c>
      <c r="E858" s="87">
        <v>2018</v>
      </c>
      <c r="F858" s="88">
        <v>106</v>
      </c>
      <c r="G858" s="120" t="s">
        <v>50</v>
      </c>
      <c r="H858" s="581" t="s">
        <v>64</v>
      </c>
      <c r="I858" s="601">
        <v>1000</v>
      </c>
      <c r="J858" s="595" t="s">
        <v>9</v>
      </c>
      <c r="K858" s="91">
        <v>1</v>
      </c>
      <c r="L858" s="91">
        <v>3</v>
      </c>
      <c r="M858" s="92">
        <v>45</v>
      </c>
      <c r="N858" s="119" t="str">
        <f>VLOOKUP(M858,'PF Uscite Sp. Corr.'!$C$1:$E$100,2,FALSE)</f>
        <v>Utenze e canoni</v>
      </c>
      <c r="O858" s="131">
        <v>2558</v>
      </c>
      <c r="P858" s="614" t="str">
        <f>VLOOKUP(O858,'Centri di Costo'!$A$2:$B$179,2,FALSE)</f>
        <v>Spese Generali Corte Benedettina</v>
      </c>
      <c r="Q858" s="624" t="s">
        <v>2014</v>
      </c>
      <c r="R858" s="642" t="s">
        <v>65</v>
      </c>
    </row>
    <row r="859" spans="1:18" ht="28.5" customHeight="1" outlineLevel="2">
      <c r="A859" s="85" t="s">
        <v>5</v>
      </c>
      <c r="B859" s="402" t="s">
        <v>1880</v>
      </c>
      <c r="C859" s="85" t="s">
        <v>32</v>
      </c>
      <c r="D859" s="148" t="s">
        <v>7</v>
      </c>
      <c r="E859" s="87">
        <v>2018</v>
      </c>
      <c r="F859" s="88">
        <v>106</v>
      </c>
      <c r="G859" s="120" t="s">
        <v>50</v>
      </c>
      <c r="H859" s="581" t="s">
        <v>66</v>
      </c>
      <c r="I859" s="601">
        <v>2000</v>
      </c>
      <c r="J859" s="595" t="s">
        <v>9</v>
      </c>
      <c r="K859" s="91">
        <v>1</v>
      </c>
      <c r="L859" s="91">
        <v>3</v>
      </c>
      <c r="M859" s="92">
        <v>45</v>
      </c>
      <c r="N859" s="119" t="str">
        <f>VLOOKUP(M859,'PF Uscite Sp. Corr.'!$C$1:$E$100,2,FALSE)</f>
        <v>Utenze e canoni</v>
      </c>
      <c r="O859" s="131">
        <v>2558</v>
      </c>
      <c r="P859" s="614" t="str">
        <f>VLOOKUP(O859,'Centri di Costo'!$A$2:$B$179,2,FALSE)</f>
        <v>Spese Generali Corte Benedettina</v>
      </c>
      <c r="Q859" s="619" t="s">
        <v>2011</v>
      </c>
      <c r="R859" s="642" t="s">
        <v>67</v>
      </c>
    </row>
    <row r="860" spans="1:18" ht="28.5" customHeight="1" outlineLevel="2">
      <c r="A860" s="85" t="s">
        <v>5</v>
      </c>
      <c r="B860" s="402" t="s">
        <v>1880</v>
      </c>
      <c r="C860" s="85" t="s">
        <v>32</v>
      </c>
      <c r="D860" s="148" t="s">
        <v>7</v>
      </c>
      <c r="E860" s="87">
        <v>2018</v>
      </c>
      <c r="F860" s="88">
        <v>106</v>
      </c>
      <c r="G860" s="120" t="s">
        <v>50</v>
      </c>
      <c r="H860" s="581" t="s">
        <v>51</v>
      </c>
      <c r="I860" s="601">
        <v>19759</v>
      </c>
      <c r="J860" s="595" t="s">
        <v>9</v>
      </c>
      <c r="K860" s="91">
        <v>1</v>
      </c>
      <c r="L860" s="91">
        <v>3</v>
      </c>
      <c r="M860" s="92">
        <v>49</v>
      </c>
      <c r="N860" s="119" t="str">
        <f>VLOOKUP(M860,'PF Uscite Sp. Corr.'!$C$1:$E$100,2,FALSE)</f>
        <v>Manutenzione ordinaria e riparazioni</v>
      </c>
      <c r="O860" s="131">
        <v>2558</v>
      </c>
      <c r="P860" s="614" t="str">
        <f>VLOOKUP(O860,'Centri di Costo'!$A$2:$B$179,2,FALSE)</f>
        <v>Spese Generali Corte Benedettina</v>
      </c>
      <c r="Q860" s="619" t="s">
        <v>2011</v>
      </c>
      <c r="R860" s="642" t="s">
        <v>52</v>
      </c>
    </row>
    <row r="861" spans="1:18" ht="28.5" customHeight="1" outlineLevel="2">
      <c r="A861" s="85" t="s">
        <v>5</v>
      </c>
      <c r="B861" s="402" t="s">
        <v>1880</v>
      </c>
      <c r="C861" s="85" t="s">
        <v>32</v>
      </c>
      <c r="D861" s="148" t="s">
        <v>7</v>
      </c>
      <c r="E861" s="87">
        <v>2018</v>
      </c>
      <c r="F861" s="88">
        <v>106</v>
      </c>
      <c r="G861" s="120" t="s">
        <v>50</v>
      </c>
      <c r="H861" s="581" t="s">
        <v>60</v>
      </c>
      <c r="I861" s="601">
        <v>3500</v>
      </c>
      <c r="J861" s="595" t="s">
        <v>9</v>
      </c>
      <c r="K861" s="91">
        <v>1</v>
      </c>
      <c r="L861" s="91">
        <v>3</v>
      </c>
      <c r="M861" s="92">
        <v>49</v>
      </c>
      <c r="N861" s="119" t="str">
        <f>VLOOKUP(M861,'PF Uscite Sp. Corr.'!$C$1:$E$100,2,FALSE)</f>
        <v>Manutenzione ordinaria e riparazioni</v>
      </c>
      <c r="O861" s="131">
        <v>2558</v>
      </c>
      <c r="P861" s="614" t="str">
        <f>VLOOKUP(O861,'Centri di Costo'!$A$2:$B$179,2,FALSE)</f>
        <v>Spese Generali Corte Benedettina</v>
      </c>
      <c r="Q861" s="619" t="s">
        <v>2011</v>
      </c>
      <c r="R861" s="642" t="s">
        <v>61</v>
      </c>
    </row>
    <row r="862" spans="1:18" ht="28.5" customHeight="1" outlineLevel="2">
      <c r="A862" s="85" t="s">
        <v>5</v>
      </c>
      <c r="B862" s="402" t="s">
        <v>1880</v>
      </c>
      <c r="C862" s="85" t="s">
        <v>32</v>
      </c>
      <c r="D862" s="148" t="s">
        <v>7</v>
      </c>
      <c r="E862" s="87">
        <v>2018</v>
      </c>
      <c r="F862" s="88">
        <v>106</v>
      </c>
      <c r="G862" s="120" t="s">
        <v>50</v>
      </c>
      <c r="H862" s="581" t="s">
        <v>53</v>
      </c>
      <c r="I862" s="601">
        <v>600</v>
      </c>
      <c r="J862" s="595" t="s">
        <v>9</v>
      </c>
      <c r="K862" s="91">
        <v>1</v>
      </c>
      <c r="L862" s="91">
        <v>3</v>
      </c>
      <c r="M862" s="92">
        <v>53</v>
      </c>
      <c r="N862" s="119" t="str">
        <f>VLOOKUP(M862,'PF Uscite Sp. Corr.'!$C$1:$E$100,2,FALSE)</f>
        <v>Servizi ausiliari per il funzionamento dell'ente</v>
      </c>
      <c r="O862" s="131">
        <v>2558</v>
      </c>
      <c r="P862" s="614" t="str">
        <f>VLOOKUP(O862,'Centri di Costo'!$A$2:$B$179,2,FALSE)</f>
        <v>Spese Generali Corte Benedettina</v>
      </c>
      <c r="Q862" s="619" t="s">
        <v>2014</v>
      </c>
      <c r="R862" s="642" t="s">
        <v>54</v>
      </c>
    </row>
    <row r="863" spans="1:18" ht="31.5" customHeight="1" outlineLevel="2">
      <c r="A863" s="115" t="s">
        <v>5</v>
      </c>
      <c r="B863" s="402" t="s">
        <v>1880</v>
      </c>
      <c r="C863" s="115" t="s">
        <v>32</v>
      </c>
      <c r="D863" s="526" t="s">
        <v>7</v>
      </c>
      <c r="E863" s="412">
        <v>2018</v>
      </c>
      <c r="F863" s="88">
        <v>106</v>
      </c>
      <c r="G863" s="123" t="s">
        <v>50</v>
      </c>
      <c r="H863" s="583" t="s">
        <v>2028</v>
      </c>
      <c r="I863" s="603">
        <v>6940</v>
      </c>
      <c r="J863" s="596" t="s">
        <v>9</v>
      </c>
      <c r="K863" s="216">
        <v>1</v>
      </c>
      <c r="L863" s="216">
        <v>3</v>
      </c>
      <c r="M863" s="418">
        <v>53</v>
      </c>
      <c r="N863" s="118" t="str">
        <f>VLOOKUP(M863,'PF Uscite Sp. Corr.'!$C$1:$E$100,2,FALSE)</f>
        <v>Servizi ausiliari per il funzionamento dell'ente</v>
      </c>
      <c r="O863" s="419">
        <v>2558</v>
      </c>
      <c r="P863" s="615" t="str">
        <f>VLOOKUP(O863,'Centri di Costo'!$A$2:$B$179,2,FALSE)</f>
        <v>Spese Generali Corte Benedettina</v>
      </c>
      <c r="Q863" s="619" t="s">
        <v>2011</v>
      </c>
      <c r="R863" s="648" t="s">
        <v>55</v>
      </c>
    </row>
    <row r="864" spans="1:18" s="139" customFormat="1" ht="28.5" customHeight="1" outlineLevel="2">
      <c r="A864" s="397" t="s">
        <v>89</v>
      </c>
      <c r="B864" s="402" t="s">
        <v>1880</v>
      </c>
      <c r="C864" s="397" t="s">
        <v>150</v>
      </c>
      <c r="D864" s="511" t="s">
        <v>7</v>
      </c>
      <c r="E864" s="141">
        <v>2018</v>
      </c>
      <c r="F864" s="88">
        <v>133</v>
      </c>
      <c r="G864" s="124" t="s">
        <v>200</v>
      </c>
      <c r="H864" s="124" t="s">
        <v>217</v>
      </c>
      <c r="I864" s="604">
        <v>2000</v>
      </c>
      <c r="J864" s="135" t="s">
        <v>9</v>
      </c>
      <c r="K864" s="136">
        <v>1</v>
      </c>
      <c r="L864" s="136">
        <v>3</v>
      </c>
      <c r="M864" s="203">
        <v>59</v>
      </c>
      <c r="N864" s="129" t="str">
        <f>VLOOKUP(M864,'PF Uscite Sp. Corr.'!$C$1:$E$100,2,FALSE)</f>
        <v>Servizi informatici e di telecomunicazioni</v>
      </c>
      <c r="O864" s="395">
        <v>2558</v>
      </c>
      <c r="P864" s="170" t="str">
        <f>VLOOKUP(O864,'Centri di Costo'!$A$2:$B$179,2,FALSE)</f>
        <v>Spese Generali Corte Benedettina</v>
      </c>
      <c r="Q864" s="624" t="s">
        <v>2014</v>
      </c>
      <c r="R864" s="644" t="s">
        <v>202</v>
      </c>
    </row>
    <row r="865" spans="1:18" ht="28.5" customHeight="1" outlineLevel="2">
      <c r="A865" s="94" t="s">
        <v>5</v>
      </c>
      <c r="B865" s="402" t="s">
        <v>1880</v>
      </c>
      <c r="C865" s="94" t="s">
        <v>32</v>
      </c>
      <c r="D865" s="149" t="s">
        <v>7</v>
      </c>
      <c r="E865" s="101">
        <v>2018</v>
      </c>
      <c r="F865" s="102">
        <v>106</v>
      </c>
      <c r="G865" s="121" t="s">
        <v>50</v>
      </c>
      <c r="H865" s="580" t="s">
        <v>1517</v>
      </c>
      <c r="I865" s="600">
        <v>3861</v>
      </c>
      <c r="J865" s="594" t="s">
        <v>9</v>
      </c>
      <c r="K865" s="99">
        <v>1</v>
      </c>
      <c r="L865" s="99">
        <v>10</v>
      </c>
      <c r="M865" s="113">
        <v>86</v>
      </c>
      <c r="N865" s="128" t="str">
        <f>VLOOKUP(M865,'PF Uscite Sp. Corr.'!$C$1:$E$100,2,FALSE)</f>
        <v>Premi di assicurazione contro i danni</v>
      </c>
      <c r="O865" s="132">
        <v>2558</v>
      </c>
      <c r="P865" s="613" t="str">
        <f>VLOOKUP(O865,'Centri di Costo'!$A$2:$B$179,2,FALSE)</f>
        <v>Spese Generali Corte Benedettina</v>
      </c>
      <c r="Q865" s="624" t="s">
        <v>2014</v>
      </c>
      <c r="R865" s="639" t="s">
        <v>56</v>
      </c>
    </row>
    <row r="866" spans="1:18" s="139" customFormat="1" ht="32.25" customHeight="1" outlineLevel="2">
      <c r="A866" s="115" t="s">
        <v>5</v>
      </c>
      <c r="B866" s="404" t="s">
        <v>1880</v>
      </c>
      <c r="C866" s="115" t="s">
        <v>32</v>
      </c>
      <c r="D866" s="417" t="s">
        <v>7</v>
      </c>
      <c r="E866" s="412">
        <v>2018</v>
      </c>
      <c r="F866" s="413">
        <v>106</v>
      </c>
      <c r="G866" s="123" t="s">
        <v>50</v>
      </c>
      <c r="H866" s="583" t="s">
        <v>1518</v>
      </c>
      <c r="I866" s="603">
        <v>2450</v>
      </c>
      <c r="J866" s="596" t="s">
        <v>9</v>
      </c>
      <c r="K866" s="216">
        <v>1</v>
      </c>
      <c r="L866" s="216">
        <v>10</v>
      </c>
      <c r="M866" s="418">
        <v>86</v>
      </c>
      <c r="N866" s="118" t="str">
        <f>VLOOKUP(M866,'PF Uscite Sp. Corr.'!$C$1:$E$100,2,FALSE)</f>
        <v>Premi di assicurazione contro i danni</v>
      </c>
      <c r="O866" s="419">
        <v>2558</v>
      </c>
      <c r="P866" s="615" t="str">
        <f>VLOOKUP(O866,'Centri di Costo'!$A$2:$B$179,2,FALSE)</f>
        <v>Spese Generali Corte Benedettina</v>
      </c>
      <c r="Q866" s="624" t="s">
        <v>2014</v>
      </c>
      <c r="R866" s="648" t="s">
        <v>59</v>
      </c>
    </row>
    <row r="867" spans="1:18" s="215" customFormat="1" ht="20.25" customHeight="1" outlineLevel="1" collapsed="1">
      <c r="A867" s="160"/>
      <c r="B867" s="433" t="s">
        <v>1921</v>
      </c>
      <c r="C867" s="161"/>
      <c r="D867" s="437"/>
      <c r="E867" s="438"/>
      <c r="F867" s="438"/>
      <c r="G867" s="441" t="s">
        <v>1938</v>
      </c>
      <c r="H867" s="214" t="str">
        <f>G866</f>
        <v>Spese Generali Immobile ex-Corte Benedettina</v>
      </c>
      <c r="I867" s="605">
        <f>SUBTOTAL(9,I854:I866)</f>
        <v>62000</v>
      </c>
      <c r="J867" s="212"/>
      <c r="K867" s="179"/>
      <c r="L867" s="179"/>
      <c r="M867" s="213"/>
      <c r="N867" s="434"/>
      <c r="O867" s="439"/>
      <c r="P867" s="435"/>
      <c r="Q867" s="620"/>
      <c r="R867" s="645"/>
    </row>
    <row r="868" spans="1:18" s="139" customFormat="1" ht="57" customHeight="1" outlineLevel="2">
      <c r="A868" s="396" t="s">
        <v>5</v>
      </c>
      <c r="B868" s="404" t="s">
        <v>1882</v>
      </c>
      <c r="C868" s="396" t="s">
        <v>32</v>
      </c>
      <c r="D868" s="421" t="s">
        <v>7</v>
      </c>
      <c r="E868" s="422">
        <v>2018</v>
      </c>
      <c r="F868" s="423">
        <v>285</v>
      </c>
      <c r="G868" s="208" t="s">
        <v>33</v>
      </c>
      <c r="H868" s="584" t="s">
        <v>1856</v>
      </c>
      <c r="I868" s="604">
        <v>10000</v>
      </c>
      <c r="J868" s="597" t="s">
        <v>9</v>
      </c>
      <c r="K868" s="248">
        <v>1</v>
      </c>
      <c r="L868" s="248">
        <v>10</v>
      </c>
      <c r="M868" s="249">
        <v>51</v>
      </c>
      <c r="N868" s="415" t="str">
        <f>VLOOKUP(M868,'PF Uscite Sp. Corr.'!$C$1:$E$100,2,FALSE)</f>
        <v>Prestazioni professionali e specialistiche</v>
      </c>
      <c r="O868" s="424">
        <v>4972</v>
      </c>
      <c r="P868" s="616" t="str">
        <f>VLOOKUP(O868,'Centri di Costo'!$A$2:$B$179,2,FALSE)</f>
        <v>Staff del Direttore - Progetti Speciali</v>
      </c>
      <c r="Q868" s="619" t="s">
        <v>2011</v>
      </c>
      <c r="R868" s="646" t="s">
        <v>34</v>
      </c>
    </row>
    <row r="869" spans="1:18" s="215" customFormat="1" ht="20.25" customHeight="1" outlineLevel="1" collapsed="1">
      <c r="A869" s="160"/>
      <c r="B869" s="433" t="s">
        <v>1922</v>
      </c>
      <c r="C869" s="161"/>
      <c r="D869" s="437"/>
      <c r="E869" s="438"/>
      <c r="F869" s="438"/>
      <c r="G869" s="441" t="s">
        <v>1938</v>
      </c>
      <c r="H869" s="214" t="s">
        <v>1964</v>
      </c>
      <c r="I869" s="605">
        <f>SUBTOTAL(9,I868:I868)</f>
        <v>10000</v>
      </c>
      <c r="J869" s="212"/>
      <c r="K869" s="179"/>
      <c r="L869" s="179"/>
      <c r="M869" s="213"/>
      <c r="N869" s="434"/>
      <c r="O869" s="439"/>
      <c r="P869" s="435"/>
      <c r="Q869" s="626"/>
      <c r="R869" s="645"/>
    </row>
    <row r="870" spans="1:18" s="205" customFormat="1" ht="13.5" customHeight="1">
      <c r="A870" s="535"/>
      <c r="B870" s="536"/>
      <c r="C870" s="537"/>
      <c r="D870" s="537"/>
      <c r="E870" s="537"/>
      <c r="F870" s="540"/>
      <c r="G870" s="537" t="str">
        <f>A875</f>
        <v>DIREZIONE DELL'AGENZIA</v>
      </c>
      <c r="H870" s="540"/>
      <c r="I870" s="599"/>
      <c r="J870" s="537"/>
      <c r="K870" s="537"/>
      <c r="L870" s="537"/>
      <c r="M870" s="537"/>
      <c r="N870" s="537"/>
      <c r="O870" s="538"/>
      <c r="P870" s="539"/>
      <c r="Q870" s="618"/>
      <c r="R870" s="638"/>
    </row>
    <row r="871" spans="1:18" ht="28.5" customHeight="1" outlineLevel="2">
      <c r="A871" s="94" t="s">
        <v>5</v>
      </c>
      <c r="B871" s="402">
        <v>48</v>
      </c>
      <c r="C871" s="94" t="s">
        <v>5</v>
      </c>
      <c r="D871" s="149" t="s">
        <v>7</v>
      </c>
      <c r="E871" s="101">
        <v>2018</v>
      </c>
      <c r="F871" s="102">
        <v>285</v>
      </c>
      <c r="G871" s="121" t="s">
        <v>33</v>
      </c>
      <c r="H871" s="580"/>
      <c r="I871" s="600">
        <f>147000-10000</f>
        <v>137000</v>
      </c>
      <c r="J871" s="594" t="s">
        <v>9</v>
      </c>
      <c r="K871" s="99">
        <v>1</v>
      </c>
      <c r="L871" s="99">
        <v>10</v>
      </c>
      <c r="M871" s="113">
        <v>96</v>
      </c>
      <c r="N871" s="128" t="str">
        <f>VLOOKUP(M871,'PF Uscite Sp. Corr.'!$C$1:$E$100,2,FALSE)</f>
        <v>Altre spese correnti n.a.c.</v>
      </c>
      <c r="O871" s="132">
        <v>498</v>
      </c>
      <c r="P871" s="613" t="str">
        <f>VLOOKUP(O871,'Centri di Costo'!$A$2:$B$179,2,FALSE)</f>
        <v>Risorse indistinte - Direttore</v>
      </c>
      <c r="Q871" s="627" t="s">
        <v>1844</v>
      </c>
      <c r="R871" s="639" t="s">
        <v>34</v>
      </c>
    </row>
    <row r="872" spans="1:18" ht="28.5" customHeight="1" outlineLevel="2">
      <c r="A872" s="85" t="s">
        <v>5</v>
      </c>
      <c r="B872" s="400">
        <v>48</v>
      </c>
      <c r="C872" s="94" t="s">
        <v>5</v>
      </c>
      <c r="D872" s="148" t="s">
        <v>7</v>
      </c>
      <c r="E872" s="87">
        <v>2018</v>
      </c>
      <c r="F872" s="88">
        <v>285</v>
      </c>
      <c r="G872" s="120" t="s">
        <v>33</v>
      </c>
      <c r="H872" s="581"/>
      <c r="I872" s="601">
        <v>73500</v>
      </c>
      <c r="J872" s="595" t="s">
        <v>36</v>
      </c>
      <c r="K872" s="91">
        <v>1</v>
      </c>
      <c r="L872" s="91">
        <v>10</v>
      </c>
      <c r="M872" s="92">
        <v>96</v>
      </c>
      <c r="N872" s="119" t="str">
        <f>VLOOKUP(M872,'PF Uscite Sp. Corr.'!$C$1:$E$100,2,FALSE)</f>
        <v>Altre spese correnti n.a.c.</v>
      </c>
      <c r="O872" s="131">
        <v>498</v>
      </c>
      <c r="P872" s="614" t="str">
        <f>VLOOKUP(O872,'Centri di Costo'!$A$2:$B$179,2,FALSE)</f>
        <v>Risorse indistinte - Direttore</v>
      </c>
      <c r="Q872" s="627" t="s">
        <v>1844</v>
      </c>
      <c r="R872" s="642" t="s">
        <v>34</v>
      </c>
    </row>
    <row r="873" spans="1:18" s="139" customFormat="1" ht="28.5" customHeight="1" outlineLevel="2">
      <c r="A873" s="115" t="s">
        <v>5</v>
      </c>
      <c r="B873" s="401">
        <v>48</v>
      </c>
      <c r="C873" s="94" t="s">
        <v>5</v>
      </c>
      <c r="D873" s="417" t="s">
        <v>7</v>
      </c>
      <c r="E873" s="412">
        <v>2018</v>
      </c>
      <c r="F873" s="413">
        <v>285</v>
      </c>
      <c r="G873" s="123" t="s">
        <v>33</v>
      </c>
      <c r="H873" s="583"/>
      <c r="I873" s="603">
        <v>24500</v>
      </c>
      <c r="J873" s="596" t="s">
        <v>35</v>
      </c>
      <c r="K873" s="216">
        <v>1</v>
      </c>
      <c r="L873" s="216">
        <v>10</v>
      </c>
      <c r="M873" s="418">
        <v>96</v>
      </c>
      <c r="N873" s="118" t="str">
        <f>VLOOKUP(M873,'PF Uscite Sp. Corr.'!$C$1:$E$100,2,FALSE)</f>
        <v>Altre spese correnti n.a.c.</v>
      </c>
      <c r="O873" s="419">
        <v>498</v>
      </c>
      <c r="P873" s="615" t="str">
        <f>VLOOKUP(O873,'Centri di Costo'!$A$2:$B$179,2,FALSE)</f>
        <v>Risorse indistinte - Direttore</v>
      </c>
      <c r="Q873" s="627" t="s">
        <v>1844</v>
      </c>
      <c r="R873" s="648" t="s">
        <v>34</v>
      </c>
    </row>
    <row r="874" spans="1:18" s="215" customFormat="1" ht="20.25" customHeight="1" outlineLevel="1" collapsed="1">
      <c r="A874" s="160"/>
      <c r="B874" s="433" t="s">
        <v>1923</v>
      </c>
      <c r="C874" s="161"/>
      <c r="D874" s="437"/>
      <c r="E874" s="438"/>
      <c r="F874" s="438"/>
      <c r="G874" s="441" t="s">
        <v>1938</v>
      </c>
      <c r="H874" s="214" t="s">
        <v>1965</v>
      </c>
      <c r="I874" s="605">
        <f>SUBTOTAL(9,I871:I873)</f>
        <v>235000</v>
      </c>
      <c r="J874" s="212"/>
      <c r="K874" s="179"/>
      <c r="L874" s="179"/>
      <c r="M874" s="213"/>
      <c r="N874" s="434"/>
      <c r="O874" s="439"/>
      <c r="P874" s="435"/>
      <c r="Q874" s="626"/>
      <c r="R874" s="645"/>
    </row>
    <row r="875" spans="1:18" s="112" customFormat="1" ht="31.5" customHeight="1" outlineLevel="2">
      <c r="A875" s="108" t="s">
        <v>5</v>
      </c>
      <c r="B875" s="402">
        <v>49</v>
      </c>
      <c r="C875" s="108" t="s">
        <v>32</v>
      </c>
      <c r="D875" s="149" t="s">
        <v>7</v>
      </c>
      <c r="E875" s="109">
        <v>2018</v>
      </c>
      <c r="F875" s="110">
        <v>263</v>
      </c>
      <c r="G875" s="146" t="s">
        <v>40</v>
      </c>
      <c r="H875" s="585" t="s">
        <v>41</v>
      </c>
      <c r="I875" s="606">
        <v>50000</v>
      </c>
      <c r="J875" s="594" t="s">
        <v>1528</v>
      </c>
      <c r="K875" s="99">
        <v>1</v>
      </c>
      <c r="L875" s="99">
        <v>10</v>
      </c>
      <c r="M875" s="99">
        <v>81</v>
      </c>
      <c r="N875" s="128" t="str">
        <f>VLOOKUP(M875,'PF Uscite Sp. Corr.'!$C$1:$E$100,2,FALSE)</f>
        <v xml:space="preserve">Fondo Sp. Impreviste - sp. correnti (Fondi di riserva) </v>
      </c>
      <c r="O875" s="132">
        <v>499</v>
      </c>
      <c r="P875" s="613" t="str">
        <f>VLOOKUP(O875,'Centri di Costo'!$A$2:$B$179,2,FALSE)</f>
        <v xml:space="preserve">Fondi </v>
      </c>
      <c r="Q875" s="627" t="s">
        <v>1844</v>
      </c>
      <c r="R875" s="647" t="s">
        <v>25</v>
      </c>
    </row>
    <row r="876" spans="1:18" s="425" customFormat="1" ht="28.5" customHeight="1" outlineLevel="2">
      <c r="A876" s="428" t="s">
        <v>5</v>
      </c>
      <c r="B876" s="401">
        <v>49</v>
      </c>
      <c r="C876" s="428" t="s">
        <v>32</v>
      </c>
      <c r="D876" s="417" t="s">
        <v>7</v>
      </c>
      <c r="E876" s="429">
        <v>2018</v>
      </c>
      <c r="F876" s="430">
        <v>263</v>
      </c>
      <c r="G876" s="431" t="s">
        <v>40</v>
      </c>
      <c r="H876" s="588" t="s">
        <v>42</v>
      </c>
      <c r="I876" s="609">
        <f>50000-6427</f>
        <v>43573</v>
      </c>
      <c r="J876" s="596" t="s">
        <v>1528</v>
      </c>
      <c r="K876" s="216">
        <v>1</v>
      </c>
      <c r="L876" s="216">
        <v>10</v>
      </c>
      <c r="M876" s="216">
        <v>89</v>
      </c>
      <c r="N876" s="118" t="str">
        <f>VLOOKUP(M876,'PF Uscite Sp. Corr.'!$C$1:$E$100,2,FALSE)</f>
        <v>Fondi per Cofinanziamenti - sp. correnti (Fondi di riserva)</v>
      </c>
      <c r="O876" s="419">
        <v>499</v>
      </c>
      <c r="P876" s="615" t="str">
        <f>VLOOKUP(O876,'Centri di Costo'!$A$2:$B$179,2,FALSE)</f>
        <v xml:space="preserve">Fondi </v>
      </c>
      <c r="Q876" s="627" t="s">
        <v>1844</v>
      </c>
      <c r="R876" s="656" t="s">
        <v>25</v>
      </c>
    </row>
    <row r="877" spans="1:18" s="221" customFormat="1" ht="20.25" customHeight="1" outlineLevel="1" collapsed="1">
      <c r="A877" s="163"/>
      <c r="B877" s="433" t="s">
        <v>1924</v>
      </c>
      <c r="C877" s="164"/>
      <c r="D877" s="437"/>
      <c r="E877" s="179"/>
      <c r="F877" s="179"/>
      <c r="G877" s="441" t="s">
        <v>1938</v>
      </c>
      <c r="H877" s="220" t="s">
        <v>1966</v>
      </c>
      <c r="I877" s="610">
        <f>SUBTOTAL(9,I875:I876)</f>
        <v>93573</v>
      </c>
      <c r="J877" s="212"/>
      <c r="K877" s="179"/>
      <c r="L877" s="179"/>
      <c r="M877" s="179"/>
      <c r="N877" s="434"/>
      <c r="O877" s="439"/>
      <c r="P877" s="435"/>
      <c r="Q877" s="628"/>
      <c r="R877" s="657"/>
    </row>
    <row r="878" spans="1:18" s="205" customFormat="1" ht="15.75" customHeight="1">
      <c r="A878" s="535"/>
      <c r="B878" s="536"/>
      <c r="C878" s="537"/>
      <c r="D878" s="537"/>
      <c r="E878" s="537"/>
      <c r="F878" s="540"/>
      <c r="G878" s="537" t="str">
        <f>C879</f>
        <v>SETTORE O.G.RISORSE UMANE</v>
      </c>
      <c r="H878" s="540"/>
      <c r="I878" s="599"/>
      <c r="J878" s="537"/>
      <c r="K878" s="537"/>
      <c r="L878" s="537"/>
      <c r="M878" s="537"/>
      <c r="N878" s="537"/>
      <c r="O878" s="538"/>
      <c r="P878" s="539"/>
      <c r="Q878" s="618"/>
      <c r="R878" s="638"/>
    </row>
    <row r="879" spans="1:18" ht="28.5" customHeight="1" outlineLevel="2">
      <c r="A879" s="94" t="s">
        <v>89</v>
      </c>
      <c r="B879" s="402">
        <v>51</v>
      </c>
      <c r="C879" s="108" t="s">
        <v>275</v>
      </c>
      <c r="D879" s="149" t="s">
        <v>7</v>
      </c>
      <c r="E879" s="101">
        <v>2018</v>
      </c>
      <c r="F879" s="102">
        <v>191</v>
      </c>
      <c r="G879" s="121" t="s">
        <v>276</v>
      </c>
      <c r="H879" s="580" t="s">
        <v>283</v>
      </c>
      <c r="I879" s="600">
        <f>5695422+146920</f>
        <v>5842342</v>
      </c>
      <c r="J879" s="594" t="s">
        <v>9</v>
      </c>
      <c r="K879" s="99">
        <v>1</v>
      </c>
      <c r="L879" s="99">
        <v>1</v>
      </c>
      <c r="M879" s="527">
        <v>100</v>
      </c>
      <c r="N879" s="128" t="str">
        <f>VLOOKUP(M879,'PF Uscite Sp. Corr.'!$C$1:$E$100,2,FALSE)</f>
        <v>Retribuzioni in denaro - IMPIEGATI E DIRIGENTI</v>
      </c>
      <c r="O879" s="132">
        <v>5100</v>
      </c>
      <c r="P879" s="613" t="str">
        <f>VLOOKUP(O879,'Centri di Costo'!$A$2:$B$179,2,FALSE)</f>
        <v xml:space="preserve">O.G.R.U. - Attività Ordinaria </v>
      </c>
      <c r="Q879" s="627" t="s">
        <v>1844</v>
      </c>
      <c r="R879" s="650" t="s">
        <v>284</v>
      </c>
    </row>
    <row r="880" spans="1:18" ht="28.5" customHeight="1" outlineLevel="2">
      <c r="A880" s="94" t="s">
        <v>89</v>
      </c>
      <c r="B880" s="402">
        <v>51</v>
      </c>
      <c r="C880" s="108" t="s">
        <v>275</v>
      </c>
      <c r="D880" s="149" t="s">
        <v>7</v>
      </c>
      <c r="E880" s="101">
        <v>2018</v>
      </c>
      <c r="F880" s="102">
        <v>192</v>
      </c>
      <c r="G880" s="121" t="s">
        <v>288</v>
      </c>
      <c r="H880" s="580" t="s">
        <v>289</v>
      </c>
      <c r="I880" s="600">
        <v>60000</v>
      </c>
      <c r="J880" s="594" t="s">
        <v>9</v>
      </c>
      <c r="K880" s="99">
        <v>1</v>
      </c>
      <c r="L880" s="99">
        <v>1</v>
      </c>
      <c r="M880" s="527">
        <v>101</v>
      </c>
      <c r="N880" s="128" t="str">
        <f>VLOOKUP(M880,'PF Uscite Sp. Corr.'!$C$1:$E$100,2,FALSE)</f>
        <v>Straordinario per il personale  - IMPIEGATI E DIRIGENTI</v>
      </c>
      <c r="O880" s="132">
        <v>5100</v>
      </c>
      <c r="P880" s="613" t="str">
        <f>VLOOKUP(O880,'Centri di Costo'!$A$2:$B$179,2,FALSE)</f>
        <v xml:space="preserve">O.G.R.U. - Attività Ordinaria </v>
      </c>
      <c r="Q880" s="627" t="s">
        <v>1844</v>
      </c>
      <c r="R880" s="650" t="s">
        <v>290</v>
      </c>
    </row>
    <row r="881" spans="1:18" ht="28.5" customHeight="1" outlineLevel="2">
      <c r="A881" s="85" t="s">
        <v>89</v>
      </c>
      <c r="B881" s="402">
        <v>51</v>
      </c>
      <c r="C881" s="95" t="s">
        <v>275</v>
      </c>
      <c r="D881" s="148" t="s">
        <v>7</v>
      </c>
      <c r="E881" s="87">
        <v>2018</v>
      </c>
      <c r="F881" s="88">
        <v>195</v>
      </c>
      <c r="G881" s="120" t="s">
        <v>291</v>
      </c>
      <c r="H881" s="581" t="s">
        <v>292</v>
      </c>
      <c r="I881" s="601">
        <v>130000</v>
      </c>
      <c r="J881" s="595" t="s">
        <v>9</v>
      </c>
      <c r="K881" s="91">
        <v>1</v>
      </c>
      <c r="L881" s="91">
        <v>1</v>
      </c>
      <c r="M881" s="92">
        <v>103</v>
      </c>
      <c r="N881" s="119" t="str">
        <f>VLOOKUP(M881,'PF Uscite Sp. Corr.'!$C$1:$E$100,2,FALSE)</f>
        <v>Buoni pasto IMPIEGATI - DIRIGENTI e Altre spese per il personale</v>
      </c>
      <c r="O881" s="132">
        <v>5100</v>
      </c>
      <c r="P881" s="614" t="str">
        <f>VLOOKUP(O881,'Centri di Costo'!$A$2:$B$179,2,FALSE)</f>
        <v xml:space="preserve">O.G.R.U. - Attività Ordinaria </v>
      </c>
      <c r="Q881" s="627" t="s">
        <v>2014</v>
      </c>
      <c r="R881" s="642" t="s">
        <v>293</v>
      </c>
    </row>
    <row r="882" spans="1:18" ht="28.5" customHeight="1" outlineLevel="2">
      <c r="A882" s="85" t="s">
        <v>89</v>
      </c>
      <c r="B882" s="402">
        <v>51</v>
      </c>
      <c r="C882" s="95" t="s">
        <v>275</v>
      </c>
      <c r="D882" s="148" t="s">
        <v>7</v>
      </c>
      <c r="E882" s="87">
        <v>2018</v>
      </c>
      <c r="F882" s="88">
        <v>191</v>
      </c>
      <c r="G882" s="120" t="s">
        <v>276</v>
      </c>
      <c r="H882" s="581" t="s">
        <v>277</v>
      </c>
      <c r="I882" s="601">
        <f>1593232+42193</f>
        <v>1635425</v>
      </c>
      <c r="J882" s="595" t="s">
        <v>9</v>
      </c>
      <c r="K882" s="91">
        <v>1</v>
      </c>
      <c r="L882" s="91">
        <v>1</v>
      </c>
      <c r="M882" s="528">
        <v>104</v>
      </c>
      <c r="N882" s="119" t="str">
        <f>VLOOKUP(M882,'PF Uscite Sp. Corr.'!$C$1:$E$100,2,FALSE)</f>
        <v>Contributi sociali effettivi a carico dell'ente - IMPIEGATI E DIRIGENTI</v>
      </c>
      <c r="O882" s="132">
        <v>5100</v>
      </c>
      <c r="P882" s="614" t="str">
        <f>VLOOKUP(O882,'Centri di Costo'!$A$2:$B$179,2,FALSE)</f>
        <v xml:space="preserve">O.G.R.U. - Attività Ordinaria </v>
      </c>
      <c r="Q882" s="627" t="s">
        <v>1844</v>
      </c>
      <c r="R882" s="654" t="s">
        <v>278</v>
      </c>
    </row>
    <row r="883" spans="1:18" ht="28.5" customHeight="1" outlineLevel="2">
      <c r="A883" s="85" t="s">
        <v>89</v>
      </c>
      <c r="B883" s="402">
        <v>51</v>
      </c>
      <c r="C883" s="95" t="s">
        <v>275</v>
      </c>
      <c r="D883" s="148" t="s">
        <v>7</v>
      </c>
      <c r="E883" s="87">
        <v>2018</v>
      </c>
      <c r="F883" s="88">
        <v>191</v>
      </c>
      <c r="G883" s="120" t="s">
        <v>276</v>
      </c>
      <c r="H883" s="581" t="s">
        <v>279</v>
      </c>
      <c r="I883" s="601">
        <v>12762</v>
      </c>
      <c r="J883" s="595" t="s">
        <v>9</v>
      </c>
      <c r="K883" s="91">
        <v>1</v>
      </c>
      <c r="L883" s="91">
        <v>1</v>
      </c>
      <c r="M883" s="528">
        <v>104</v>
      </c>
      <c r="N883" s="119" t="str">
        <f>VLOOKUP(M883,'PF Uscite Sp. Corr.'!$C$1:$E$100,2,FALSE)</f>
        <v>Contributi sociali effettivi a carico dell'ente - IMPIEGATI E DIRIGENTI</v>
      </c>
      <c r="O883" s="132">
        <v>5100</v>
      </c>
      <c r="P883" s="614" t="str">
        <f>VLOOKUP(O883,'Centri di Costo'!$A$2:$B$179,2,FALSE)</f>
        <v xml:space="preserve">O.G.R.U. - Attività Ordinaria </v>
      </c>
      <c r="Q883" s="627" t="s">
        <v>1844</v>
      </c>
      <c r="R883" s="654" t="s">
        <v>278</v>
      </c>
    </row>
    <row r="884" spans="1:18" ht="28.5" customHeight="1" outlineLevel="2">
      <c r="A884" s="85" t="s">
        <v>89</v>
      </c>
      <c r="B884" s="402">
        <v>51</v>
      </c>
      <c r="C884" s="95" t="s">
        <v>275</v>
      </c>
      <c r="D884" s="148" t="s">
        <v>7</v>
      </c>
      <c r="E884" s="87">
        <v>2018</v>
      </c>
      <c r="F884" s="88">
        <v>191</v>
      </c>
      <c r="G884" s="120" t="s">
        <v>276</v>
      </c>
      <c r="H884" s="581" t="s">
        <v>280</v>
      </c>
      <c r="I884" s="601">
        <v>3097</v>
      </c>
      <c r="J884" s="595" t="s">
        <v>9</v>
      </c>
      <c r="K884" s="91">
        <v>1</v>
      </c>
      <c r="L884" s="91">
        <v>1</v>
      </c>
      <c r="M884" s="528">
        <v>104</v>
      </c>
      <c r="N884" s="119" t="str">
        <f>VLOOKUP(M884,'PF Uscite Sp. Corr.'!$C$1:$E$100,2,FALSE)</f>
        <v>Contributi sociali effettivi a carico dell'ente - IMPIEGATI E DIRIGENTI</v>
      </c>
      <c r="O884" s="132">
        <v>5100</v>
      </c>
      <c r="P884" s="614" t="str">
        <f>VLOOKUP(O884,'Centri di Costo'!$A$2:$B$179,2,FALSE)</f>
        <v xml:space="preserve">O.G.R.U. - Attività Ordinaria </v>
      </c>
      <c r="Q884" s="627" t="s">
        <v>1844</v>
      </c>
      <c r="R884" s="654" t="s">
        <v>278</v>
      </c>
    </row>
    <row r="885" spans="1:18" ht="28.5" customHeight="1" outlineLevel="2">
      <c r="A885" s="85" t="s">
        <v>89</v>
      </c>
      <c r="B885" s="402">
        <v>51</v>
      </c>
      <c r="C885" s="95" t="s">
        <v>275</v>
      </c>
      <c r="D885" s="148" t="s">
        <v>7</v>
      </c>
      <c r="E885" s="87">
        <v>2018</v>
      </c>
      <c r="F885" s="88">
        <v>191</v>
      </c>
      <c r="G885" s="120" t="s">
        <v>276</v>
      </c>
      <c r="H885" s="581" t="s">
        <v>282</v>
      </c>
      <c r="I885" s="601">
        <v>69282</v>
      </c>
      <c r="J885" s="595" t="s">
        <v>9</v>
      </c>
      <c r="K885" s="91">
        <v>1</v>
      </c>
      <c r="L885" s="91">
        <v>1</v>
      </c>
      <c r="M885" s="528">
        <v>104</v>
      </c>
      <c r="N885" s="119" t="str">
        <f>VLOOKUP(M885,'PF Uscite Sp. Corr.'!$C$1:$E$100,2,FALSE)</f>
        <v>Contributi sociali effettivi a carico dell'ente - IMPIEGATI E DIRIGENTI</v>
      </c>
      <c r="O885" s="132">
        <v>5100</v>
      </c>
      <c r="P885" s="614" t="str">
        <f>VLOOKUP(O885,'Centri di Costo'!$A$2:$B$179,2,FALSE)</f>
        <v xml:space="preserve">O.G.R.U. - Attività Ordinaria </v>
      </c>
      <c r="Q885" s="627" t="s">
        <v>1844</v>
      </c>
      <c r="R885" s="642" t="s">
        <v>25</v>
      </c>
    </row>
    <row r="886" spans="1:18" ht="28.5" customHeight="1" outlineLevel="2">
      <c r="A886" s="85" t="s">
        <v>89</v>
      </c>
      <c r="B886" s="402">
        <v>51</v>
      </c>
      <c r="C886" s="95" t="s">
        <v>275</v>
      </c>
      <c r="D886" s="148" t="s">
        <v>7</v>
      </c>
      <c r="E886" s="87">
        <v>2018</v>
      </c>
      <c r="F886" s="88">
        <v>191</v>
      </c>
      <c r="G886" s="120" t="s">
        <v>276</v>
      </c>
      <c r="H886" s="581" t="s">
        <v>285</v>
      </c>
      <c r="I886" s="601">
        <v>78800</v>
      </c>
      <c r="J886" s="595" t="s">
        <v>9</v>
      </c>
      <c r="K886" s="91">
        <v>1</v>
      </c>
      <c r="L886" s="91">
        <v>1</v>
      </c>
      <c r="M886" s="528">
        <v>104</v>
      </c>
      <c r="N886" s="119" t="str">
        <f>VLOOKUP(M886,'PF Uscite Sp. Corr.'!$C$1:$E$100,2,FALSE)</f>
        <v>Contributi sociali effettivi a carico dell'ente - IMPIEGATI E DIRIGENTI</v>
      </c>
      <c r="O886" s="132">
        <v>5100</v>
      </c>
      <c r="P886" s="614" t="str">
        <f>VLOOKUP(O886,'Centri di Costo'!$A$2:$B$179,2,FALSE)</f>
        <v xml:space="preserve">O.G.R.U. - Attività Ordinaria </v>
      </c>
      <c r="Q886" s="627" t="s">
        <v>1844</v>
      </c>
      <c r="R886" s="654" t="s">
        <v>286</v>
      </c>
    </row>
    <row r="887" spans="1:18" ht="28.5" customHeight="1" outlineLevel="2">
      <c r="A887" s="85" t="s">
        <v>89</v>
      </c>
      <c r="B887" s="402">
        <v>51</v>
      </c>
      <c r="C887" s="95" t="s">
        <v>275</v>
      </c>
      <c r="D887" s="148" t="s">
        <v>7</v>
      </c>
      <c r="E887" s="87">
        <v>2018</v>
      </c>
      <c r="F887" s="88">
        <v>191</v>
      </c>
      <c r="G887" s="120" t="s">
        <v>276</v>
      </c>
      <c r="H887" s="581" t="s">
        <v>287</v>
      </c>
      <c r="I887" s="601">
        <v>189658</v>
      </c>
      <c r="J887" s="595" t="s">
        <v>9</v>
      </c>
      <c r="K887" s="91">
        <v>1</v>
      </c>
      <c r="L887" s="91">
        <v>1</v>
      </c>
      <c r="M887" s="528">
        <v>104</v>
      </c>
      <c r="N887" s="119" t="str">
        <f>VLOOKUP(M887,'PF Uscite Sp. Corr.'!$C$1:$E$100,2,FALSE)</f>
        <v>Contributi sociali effettivi a carico dell'ente - IMPIEGATI E DIRIGENTI</v>
      </c>
      <c r="O887" s="132">
        <v>5100</v>
      </c>
      <c r="P887" s="614" t="str">
        <f>VLOOKUP(O887,'Centri di Costo'!$A$2:$B$179,2,FALSE)</f>
        <v xml:space="preserve">O.G.R.U. - Attività Ordinaria </v>
      </c>
      <c r="Q887" s="627" t="s">
        <v>1844</v>
      </c>
      <c r="R887" s="654" t="s">
        <v>278</v>
      </c>
    </row>
    <row r="888" spans="1:18" ht="28.5" customHeight="1" outlineLevel="2">
      <c r="A888" s="85" t="s">
        <v>89</v>
      </c>
      <c r="B888" s="402">
        <v>51</v>
      </c>
      <c r="C888" s="95" t="s">
        <v>275</v>
      </c>
      <c r="D888" s="148" t="s">
        <v>7</v>
      </c>
      <c r="E888" s="87">
        <v>2018</v>
      </c>
      <c r="F888" s="88">
        <v>191</v>
      </c>
      <c r="G888" s="120" t="s">
        <v>276</v>
      </c>
      <c r="H888" s="581" t="s">
        <v>281</v>
      </c>
      <c r="I888" s="601">
        <f>383365+10887</f>
        <v>394252</v>
      </c>
      <c r="J888" s="595" t="s">
        <v>9</v>
      </c>
      <c r="K888" s="91">
        <v>1</v>
      </c>
      <c r="L888" s="91">
        <v>1</v>
      </c>
      <c r="M888" s="528">
        <v>105</v>
      </c>
      <c r="N888" s="119" t="str">
        <f>VLOOKUP(M888,'PF Uscite Sp. Corr.'!$C$1:$E$100,2,FALSE)</f>
        <v>Accantonamento per Trattamento di Fine Rapporto  - IMPIEGATI E DIRIGENTI</v>
      </c>
      <c r="O888" s="132">
        <v>5100</v>
      </c>
      <c r="P888" s="614" t="str">
        <f>VLOOKUP(O888,'Centri di Costo'!$A$2:$B$179,2,FALSE)</f>
        <v xml:space="preserve">O.G.R.U. - Attività Ordinaria </v>
      </c>
      <c r="Q888" s="627" t="s">
        <v>1844</v>
      </c>
      <c r="R888" s="642" t="s">
        <v>25</v>
      </c>
    </row>
    <row r="889" spans="1:18" ht="28.5" customHeight="1" outlineLevel="2">
      <c r="A889" s="85" t="s">
        <v>89</v>
      </c>
      <c r="B889" s="402">
        <v>51</v>
      </c>
      <c r="C889" s="95" t="s">
        <v>275</v>
      </c>
      <c r="D889" s="148" t="s">
        <v>7</v>
      </c>
      <c r="E889" s="87">
        <v>2018</v>
      </c>
      <c r="F889" s="88">
        <v>196</v>
      </c>
      <c r="G889" s="120" t="s">
        <v>294</v>
      </c>
      <c r="H889" s="581" t="s">
        <v>295</v>
      </c>
      <c r="I889" s="601">
        <v>31382</v>
      </c>
      <c r="J889" s="595" t="s">
        <v>9</v>
      </c>
      <c r="K889" s="91">
        <v>1</v>
      </c>
      <c r="L889" s="91">
        <v>1</v>
      </c>
      <c r="M889" s="528">
        <v>106</v>
      </c>
      <c r="N889" s="119" t="str">
        <f>VLOOKUP(M889,'PF Uscite Sp. Corr.'!$C$1:$E$100,2,FALSE)</f>
        <v>Assegni familiari - Altri Contributi sociali figurativi - IMPIEGATI E DIRIGENTI</v>
      </c>
      <c r="O889" s="132">
        <v>5100</v>
      </c>
      <c r="P889" s="614" t="str">
        <f>VLOOKUP(O889,'Centri di Costo'!$A$2:$B$179,2,FALSE)</f>
        <v xml:space="preserve">O.G.R.U. - Attività Ordinaria </v>
      </c>
      <c r="Q889" s="627" t="s">
        <v>1844</v>
      </c>
      <c r="R889" s="654" t="s">
        <v>296</v>
      </c>
    </row>
    <row r="890" spans="1:18" ht="28.5" customHeight="1" outlineLevel="2">
      <c r="A890" s="85" t="s">
        <v>89</v>
      </c>
      <c r="B890" s="402">
        <v>51</v>
      </c>
      <c r="C890" s="85" t="s">
        <v>275</v>
      </c>
      <c r="D890" s="148" t="s">
        <v>7</v>
      </c>
      <c r="E890" s="87">
        <v>2018</v>
      </c>
      <c r="F890" s="88">
        <v>197</v>
      </c>
      <c r="G890" s="120" t="s">
        <v>297</v>
      </c>
      <c r="H890" s="581" t="s">
        <v>298</v>
      </c>
      <c r="I890" s="601">
        <v>57350</v>
      </c>
      <c r="J890" s="595" t="s">
        <v>9</v>
      </c>
      <c r="K890" s="91">
        <v>1</v>
      </c>
      <c r="L890" s="91">
        <v>3</v>
      </c>
      <c r="M890" s="92">
        <v>42</v>
      </c>
      <c r="N890" s="119" t="str">
        <f>VLOOKUP(M890,'PF Uscite Sp. Corr.'!$C$1:$E$100,2,FALSE)</f>
        <v>Rimborso viaggio e Indennità di missione e trasferta</v>
      </c>
      <c r="O890" s="132">
        <v>5100</v>
      </c>
      <c r="P890" s="614" t="str">
        <f>VLOOKUP(O890,'Centri di Costo'!$A$2:$B$179,2,FALSE)</f>
        <v xml:space="preserve">O.G.R.U. - Attività Ordinaria </v>
      </c>
      <c r="Q890" s="627" t="s">
        <v>1844</v>
      </c>
      <c r="R890" s="642" t="s">
        <v>74</v>
      </c>
    </row>
    <row r="891" spans="1:18" ht="28.5" customHeight="1" outlineLevel="2">
      <c r="A891" s="115" t="s">
        <v>89</v>
      </c>
      <c r="B891" s="404">
        <v>51</v>
      </c>
      <c r="C891" s="115" t="s">
        <v>275</v>
      </c>
      <c r="D891" s="417" t="s">
        <v>7</v>
      </c>
      <c r="E891" s="412">
        <v>2018</v>
      </c>
      <c r="F891" s="413">
        <v>198</v>
      </c>
      <c r="G891" s="123" t="s">
        <v>299</v>
      </c>
      <c r="H891" s="583" t="s">
        <v>300</v>
      </c>
      <c r="I891" s="603">
        <v>21000</v>
      </c>
      <c r="J891" s="596" t="s">
        <v>9</v>
      </c>
      <c r="K891" s="216">
        <v>1</v>
      </c>
      <c r="L891" s="216">
        <v>3</v>
      </c>
      <c r="M891" s="418">
        <v>44</v>
      </c>
      <c r="N891" s="118" t="str">
        <f>VLOOKUP(M891,'PF Uscite Sp. Corr.'!$C$1:$E$100,2,FALSE)</f>
        <v>Acquisto di servizi per formazione e addestramento del personale dell'ente</v>
      </c>
      <c r="O891" s="424">
        <v>5100</v>
      </c>
      <c r="P891" s="615" t="str">
        <f>VLOOKUP(O891,'Centri di Costo'!$A$2:$B$179,2,FALSE)</f>
        <v xml:space="preserve">O.G.R.U. - Attività Ordinaria </v>
      </c>
      <c r="Q891" s="629" t="s">
        <v>2012</v>
      </c>
      <c r="R891" s="648" t="s">
        <v>156</v>
      </c>
    </row>
    <row r="892" spans="1:18" s="215" customFormat="1" ht="20.25" customHeight="1" outlineLevel="1" collapsed="1">
      <c r="A892" s="160"/>
      <c r="B892" s="433" t="s">
        <v>1925</v>
      </c>
      <c r="C892" s="161"/>
      <c r="D892" s="437"/>
      <c r="E892" s="438"/>
      <c r="F892" s="438"/>
      <c r="G892" s="441" t="s">
        <v>1938</v>
      </c>
      <c r="H892" s="214" t="s">
        <v>1967</v>
      </c>
      <c r="I892" s="605">
        <f>SUBTOTAL(9,I879:I891)</f>
        <v>8525350</v>
      </c>
      <c r="J892" s="212"/>
      <c r="K892" s="179"/>
      <c r="L892" s="179"/>
      <c r="M892" s="213"/>
      <c r="N892" s="434"/>
      <c r="O892" s="439"/>
      <c r="P892" s="435"/>
      <c r="Q892" s="620"/>
      <c r="R892" s="645"/>
    </row>
    <row r="893" spans="1:18" ht="28.5" customHeight="1" outlineLevel="2">
      <c r="A893" s="94" t="s">
        <v>89</v>
      </c>
      <c r="B893" s="404">
        <v>54</v>
      </c>
      <c r="C893" s="94" t="s">
        <v>233</v>
      </c>
      <c r="D893" s="149" t="s">
        <v>7</v>
      </c>
      <c r="E893" s="101">
        <v>2018</v>
      </c>
      <c r="F893" s="102">
        <v>274</v>
      </c>
      <c r="G893" s="121" t="s">
        <v>237</v>
      </c>
      <c r="H893" s="580" t="s">
        <v>241</v>
      </c>
      <c r="I893" s="600">
        <v>9700</v>
      </c>
      <c r="J893" s="594" t="s">
        <v>9</v>
      </c>
      <c r="K893" s="99">
        <v>1</v>
      </c>
      <c r="L893" s="99">
        <v>3</v>
      </c>
      <c r="M893" s="113">
        <v>55</v>
      </c>
      <c r="N893" s="128" t="str">
        <f>VLOOKUP(M893,'PF Uscite Sp. Corr.'!$C$1:$E$100,2,FALSE)</f>
        <v>Altri servizi</v>
      </c>
      <c r="O893" s="132">
        <v>5100</v>
      </c>
      <c r="P893" s="613" t="str">
        <f>VLOOKUP(O893,'Centri di Costo'!$A$2:$B$179,2,FALSE)</f>
        <v xml:space="preserve">O.G.R.U. - Attività Ordinaria </v>
      </c>
      <c r="Q893" s="619" t="s">
        <v>2013</v>
      </c>
      <c r="R893" s="639" t="s">
        <v>239</v>
      </c>
    </row>
    <row r="894" spans="1:18" ht="28.5" customHeight="1" outlineLevel="2">
      <c r="A894" s="85" t="s">
        <v>89</v>
      </c>
      <c r="B894" s="404">
        <v>54</v>
      </c>
      <c r="C894" s="85" t="s">
        <v>233</v>
      </c>
      <c r="D894" s="148" t="s">
        <v>7</v>
      </c>
      <c r="E894" s="87">
        <v>2018</v>
      </c>
      <c r="F894" s="88">
        <v>274</v>
      </c>
      <c r="G894" s="120" t="s">
        <v>237</v>
      </c>
      <c r="H894" s="581" t="s">
        <v>242</v>
      </c>
      <c r="I894" s="601">
        <v>4900</v>
      </c>
      <c r="J894" s="595" t="s">
        <v>9</v>
      </c>
      <c r="K894" s="91">
        <v>1</v>
      </c>
      <c r="L894" s="91">
        <v>3</v>
      </c>
      <c r="M894" s="92">
        <v>55</v>
      </c>
      <c r="N894" s="119" t="str">
        <f>VLOOKUP(M894,'PF Uscite Sp. Corr.'!$C$1:$E$100,2,FALSE)</f>
        <v>Altri servizi</v>
      </c>
      <c r="O894" s="131">
        <v>5100</v>
      </c>
      <c r="P894" s="614" t="str">
        <f>VLOOKUP(O894,'Centri di Costo'!$A$2:$B$179,2,FALSE)</f>
        <v xml:space="preserve">O.G.R.U. - Attività Ordinaria </v>
      </c>
      <c r="Q894" s="619" t="s">
        <v>2013</v>
      </c>
      <c r="R894" s="642" t="s">
        <v>239</v>
      </c>
    </row>
    <row r="895" spans="1:18" ht="28.5" customHeight="1" outlineLevel="2">
      <c r="A895" s="115" t="s">
        <v>89</v>
      </c>
      <c r="B895" s="404">
        <v>54</v>
      </c>
      <c r="C895" s="115" t="s">
        <v>233</v>
      </c>
      <c r="D895" s="417" t="s">
        <v>7</v>
      </c>
      <c r="E895" s="412">
        <v>2018</v>
      </c>
      <c r="F895" s="413">
        <v>274</v>
      </c>
      <c r="G895" s="123" t="s">
        <v>237</v>
      </c>
      <c r="H895" s="583" t="s">
        <v>245</v>
      </c>
      <c r="I895" s="603">
        <v>4300</v>
      </c>
      <c r="J895" s="596" t="s">
        <v>9</v>
      </c>
      <c r="K895" s="216">
        <v>1</v>
      </c>
      <c r="L895" s="216">
        <v>3</v>
      </c>
      <c r="M895" s="418">
        <v>55</v>
      </c>
      <c r="N895" s="118" t="str">
        <f>VLOOKUP(M895,'PF Uscite Sp. Corr.'!$C$1:$E$100,2,FALSE)</f>
        <v>Altri servizi</v>
      </c>
      <c r="O895" s="419">
        <v>5100</v>
      </c>
      <c r="P895" s="615" t="str">
        <f>VLOOKUP(O895,'Centri di Costo'!$A$2:$B$179,2,FALSE)</f>
        <v xml:space="preserve">O.G.R.U. - Attività Ordinaria </v>
      </c>
      <c r="Q895" s="619" t="s">
        <v>2013</v>
      </c>
      <c r="R895" s="648" t="s">
        <v>239</v>
      </c>
    </row>
    <row r="896" spans="1:18" s="215" customFormat="1" ht="20.25" customHeight="1" outlineLevel="1" collapsed="1">
      <c r="A896" s="160"/>
      <c r="B896" s="433" t="s">
        <v>1926</v>
      </c>
      <c r="C896" s="161"/>
      <c r="D896" s="437"/>
      <c r="E896" s="438"/>
      <c r="F896" s="438"/>
      <c r="G896" s="441" t="s">
        <v>1938</v>
      </c>
      <c r="H896" s="214" t="s">
        <v>1968</v>
      </c>
      <c r="I896" s="605">
        <f>SUBTOTAL(9,I893:I895)</f>
        <v>18900</v>
      </c>
      <c r="J896" s="212"/>
      <c r="K896" s="179"/>
      <c r="L896" s="179"/>
      <c r="M896" s="213"/>
      <c r="N896" s="434"/>
      <c r="O896" s="439"/>
      <c r="P896" s="435"/>
      <c r="Q896" s="620"/>
      <c r="R896" s="645"/>
    </row>
    <row r="897" spans="1:18" ht="28.5" customHeight="1" outlineLevel="2">
      <c r="A897" s="94" t="s">
        <v>89</v>
      </c>
      <c r="B897" s="402">
        <v>51</v>
      </c>
      <c r="C897" s="94" t="s">
        <v>275</v>
      </c>
      <c r="D897" s="149" t="s">
        <v>7</v>
      </c>
      <c r="E897" s="101">
        <v>2018</v>
      </c>
      <c r="F897" s="102">
        <v>199</v>
      </c>
      <c r="G897" s="121" t="s">
        <v>301</v>
      </c>
      <c r="H897" s="580" t="s">
        <v>302</v>
      </c>
      <c r="I897" s="600">
        <v>12200</v>
      </c>
      <c r="J897" s="594" t="s">
        <v>9</v>
      </c>
      <c r="K897" s="99">
        <v>1</v>
      </c>
      <c r="L897" s="99">
        <v>3</v>
      </c>
      <c r="M897" s="113">
        <v>59</v>
      </c>
      <c r="N897" s="128" t="str">
        <f>VLOOKUP(M897,'PF Uscite Sp. Corr.'!$C$1:$E$100,2,FALSE)</f>
        <v>Servizi informatici e di telecomunicazioni</v>
      </c>
      <c r="O897" s="132">
        <v>5100</v>
      </c>
      <c r="P897" s="613" t="str">
        <f>VLOOKUP(O897,'Centri di Costo'!$A$2:$B$179,2,FALSE)</f>
        <v xml:space="preserve">O.G.R.U. - Attività Ordinaria </v>
      </c>
      <c r="Q897" s="619" t="s">
        <v>2013</v>
      </c>
      <c r="R897" s="639" t="s">
        <v>303</v>
      </c>
    </row>
    <row r="898" spans="1:18" ht="39.75" customHeight="1" outlineLevel="2">
      <c r="A898" s="85" t="s">
        <v>89</v>
      </c>
      <c r="B898" s="402">
        <v>51</v>
      </c>
      <c r="C898" s="85" t="s">
        <v>275</v>
      </c>
      <c r="D898" s="148" t="s">
        <v>7</v>
      </c>
      <c r="E898" s="87">
        <v>2018</v>
      </c>
      <c r="F898" s="88">
        <v>199</v>
      </c>
      <c r="G898" s="120" t="s">
        <v>301</v>
      </c>
      <c r="H898" s="581" t="s">
        <v>304</v>
      </c>
      <c r="I898" s="601">
        <v>9516</v>
      </c>
      <c r="J898" s="595" t="s">
        <v>9</v>
      </c>
      <c r="K898" s="91">
        <v>1</v>
      </c>
      <c r="L898" s="91">
        <v>3</v>
      </c>
      <c r="M898" s="92">
        <v>59</v>
      </c>
      <c r="N898" s="119" t="str">
        <f>VLOOKUP(M898,'PF Uscite Sp. Corr.'!$C$1:$E$100,2,FALSE)</f>
        <v>Servizi informatici e di telecomunicazioni</v>
      </c>
      <c r="O898" s="132">
        <v>5100</v>
      </c>
      <c r="P898" s="614" t="str">
        <f>VLOOKUP(O898,'Centri di Costo'!$A$2:$B$179,2,FALSE)</f>
        <v xml:space="preserve">O.G.R.U. - Attività Ordinaria </v>
      </c>
      <c r="Q898" s="619" t="s">
        <v>2013</v>
      </c>
      <c r="R898" s="642" t="s">
        <v>303</v>
      </c>
    </row>
    <row r="899" spans="1:18" ht="39.75" customHeight="1" outlineLevel="2">
      <c r="A899" s="85" t="s">
        <v>89</v>
      </c>
      <c r="B899" s="402">
        <v>51</v>
      </c>
      <c r="C899" s="85" t="s">
        <v>275</v>
      </c>
      <c r="D899" s="148" t="s">
        <v>7</v>
      </c>
      <c r="E899" s="87">
        <v>2018</v>
      </c>
      <c r="F899" s="88">
        <v>199</v>
      </c>
      <c r="G899" s="120" t="s">
        <v>301</v>
      </c>
      <c r="H899" s="581" t="s">
        <v>305</v>
      </c>
      <c r="I899" s="601">
        <v>6100</v>
      </c>
      <c r="J899" s="595" t="s">
        <v>9</v>
      </c>
      <c r="K899" s="91">
        <v>1</v>
      </c>
      <c r="L899" s="91">
        <v>3</v>
      </c>
      <c r="M899" s="92">
        <v>59</v>
      </c>
      <c r="N899" s="119" t="str">
        <f>VLOOKUP(M899,'PF Uscite Sp. Corr.'!$C$1:$E$100,2,FALSE)</f>
        <v>Servizi informatici e di telecomunicazioni</v>
      </c>
      <c r="O899" s="132">
        <v>5100</v>
      </c>
      <c r="P899" s="614" t="str">
        <f>VLOOKUP(O899,'Centri di Costo'!$A$2:$B$179,2,FALSE)</f>
        <v xml:space="preserve">O.G.R.U. - Attività Ordinaria </v>
      </c>
      <c r="Q899" s="619" t="s">
        <v>2013</v>
      </c>
      <c r="R899" s="642" t="s">
        <v>220</v>
      </c>
    </row>
    <row r="900" spans="1:18" ht="39.75" customHeight="1" outlineLevel="2">
      <c r="A900" s="85" t="s">
        <v>89</v>
      </c>
      <c r="B900" s="402">
        <v>51</v>
      </c>
      <c r="C900" s="85" t="s">
        <v>275</v>
      </c>
      <c r="D900" s="148" t="s">
        <v>7</v>
      </c>
      <c r="E900" s="87">
        <v>2018</v>
      </c>
      <c r="F900" s="88">
        <v>199</v>
      </c>
      <c r="G900" s="120" t="s">
        <v>301</v>
      </c>
      <c r="H900" s="581" t="s">
        <v>306</v>
      </c>
      <c r="I900" s="601">
        <v>6344</v>
      </c>
      <c r="J900" s="595" t="s">
        <v>9</v>
      </c>
      <c r="K900" s="91">
        <v>1</v>
      </c>
      <c r="L900" s="91">
        <v>3</v>
      </c>
      <c r="M900" s="92">
        <v>59</v>
      </c>
      <c r="N900" s="119" t="str">
        <f>VLOOKUP(M900,'PF Uscite Sp. Corr.'!$C$1:$E$100,2,FALSE)</f>
        <v>Servizi informatici e di telecomunicazioni</v>
      </c>
      <c r="O900" s="132">
        <v>5100</v>
      </c>
      <c r="P900" s="614" t="str">
        <f>VLOOKUP(O900,'Centri di Costo'!$A$2:$B$179,2,FALSE)</f>
        <v xml:space="preserve">O.G.R.U. - Attività Ordinaria </v>
      </c>
      <c r="Q900" s="619" t="s">
        <v>2013</v>
      </c>
      <c r="R900" s="642" t="s">
        <v>303</v>
      </c>
    </row>
    <row r="901" spans="1:18" s="139" customFormat="1" ht="28.5" customHeight="1" outlineLevel="2">
      <c r="A901" s="115" t="s">
        <v>89</v>
      </c>
      <c r="B901" s="404">
        <v>51</v>
      </c>
      <c r="C901" s="115" t="s">
        <v>275</v>
      </c>
      <c r="D901" s="417" t="s">
        <v>7</v>
      </c>
      <c r="E901" s="412">
        <v>2018</v>
      </c>
      <c r="F901" s="413">
        <v>199</v>
      </c>
      <c r="G901" s="123" t="s">
        <v>301</v>
      </c>
      <c r="H901" s="583" t="s">
        <v>307</v>
      </c>
      <c r="I901" s="603">
        <v>3904</v>
      </c>
      <c r="J901" s="596" t="s">
        <v>9</v>
      </c>
      <c r="K901" s="216">
        <v>1</v>
      </c>
      <c r="L901" s="216">
        <v>3</v>
      </c>
      <c r="M901" s="418">
        <v>59</v>
      </c>
      <c r="N901" s="118" t="str">
        <f>VLOOKUP(M901,'PF Uscite Sp. Corr.'!$C$1:$E$100,2,FALSE)</f>
        <v>Servizi informatici e di telecomunicazioni</v>
      </c>
      <c r="O901" s="424">
        <v>5100</v>
      </c>
      <c r="P901" s="615" t="str">
        <f>VLOOKUP(O901,'Centri di Costo'!$A$2:$B$179,2,FALSE)</f>
        <v xml:space="preserve">O.G.R.U. - Attività Ordinaria </v>
      </c>
      <c r="Q901" s="619" t="s">
        <v>2013</v>
      </c>
      <c r="R901" s="648" t="s">
        <v>220</v>
      </c>
    </row>
    <row r="902" spans="1:18" s="215" customFormat="1" ht="20.25" customHeight="1" outlineLevel="1" collapsed="1">
      <c r="A902" s="160"/>
      <c r="B902" s="433" t="s">
        <v>1925</v>
      </c>
      <c r="C902" s="161"/>
      <c r="D902" s="437"/>
      <c r="E902" s="438"/>
      <c r="F902" s="438"/>
      <c r="G902" s="441" t="s">
        <v>1938</v>
      </c>
      <c r="H902" s="214" t="s">
        <v>1969</v>
      </c>
      <c r="I902" s="605">
        <f>SUBTOTAL(9,I897:I901)</f>
        <v>38064</v>
      </c>
      <c r="J902" s="212"/>
      <c r="K902" s="179"/>
      <c r="L902" s="179"/>
      <c r="M902" s="213"/>
      <c r="N902" s="434"/>
      <c r="O902" s="439"/>
      <c r="P902" s="435"/>
      <c r="Q902" s="620"/>
      <c r="R902" s="645"/>
    </row>
    <row r="903" spans="1:18" ht="28.5" customHeight="1" outlineLevel="2">
      <c r="A903" s="94" t="s">
        <v>89</v>
      </c>
      <c r="B903" s="404">
        <v>54</v>
      </c>
      <c r="C903" s="94" t="s">
        <v>233</v>
      </c>
      <c r="D903" s="149" t="s">
        <v>7</v>
      </c>
      <c r="E903" s="101">
        <v>2018</v>
      </c>
      <c r="F903" s="102">
        <v>152</v>
      </c>
      <c r="G903" s="121" t="s">
        <v>258</v>
      </c>
      <c r="H903" s="580" t="s">
        <v>263</v>
      </c>
      <c r="I903" s="600">
        <v>390000</v>
      </c>
      <c r="J903" s="594" t="s">
        <v>9</v>
      </c>
      <c r="K903" s="99">
        <v>1</v>
      </c>
      <c r="L903" s="99">
        <v>2</v>
      </c>
      <c r="M903" s="113">
        <v>11</v>
      </c>
      <c r="N903" s="128" t="str">
        <f>VLOOKUP(M903,'PF Uscite Sp. Corr.'!$C$1:$E$100,2,FALSE)</f>
        <v>Imposta regionale sulle attività produttive (IRAP)</v>
      </c>
      <c r="O903" s="132">
        <v>5400</v>
      </c>
      <c r="P903" s="613" t="str">
        <f>VLOOKUP(O903,'Centri di Costo'!$A$2:$B$179,2,FALSE)</f>
        <v xml:space="preserve">Ragioneria - Attività Ordinaria </v>
      </c>
      <c r="Q903" s="630" t="s">
        <v>1844</v>
      </c>
      <c r="R903" s="639" t="s">
        <v>264</v>
      </c>
    </row>
    <row r="904" spans="1:18" ht="28.5" customHeight="1" outlineLevel="2">
      <c r="A904" s="85" t="s">
        <v>89</v>
      </c>
      <c r="B904" s="404">
        <v>54</v>
      </c>
      <c r="C904" s="85" t="s">
        <v>233</v>
      </c>
      <c r="D904" s="148" t="s">
        <v>7</v>
      </c>
      <c r="E904" s="87">
        <v>2018</v>
      </c>
      <c r="F904" s="88">
        <v>152</v>
      </c>
      <c r="G904" s="120" t="s">
        <v>258</v>
      </c>
      <c r="H904" s="581" t="s">
        <v>265</v>
      </c>
      <c r="I904" s="601">
        <v>2500</v>
      </c>
      <c r="J904" s="595" t="s">
        <v>9</v>
      </c>
      <c r="K904" s="91">
        <v>1</v>
      </c>
      <c r="L904" s="91">
        <v>2</v>
      </c>
      <c r="M904" s="92">
        <v>12</v>
      </c>
      <c r="N904" s="119" t="str">
        <f>VLOOKUP(M904,'PF Uscite Sp. Corr.'!$C$1:$E$100,2,FALSE)</f>
        <v>Imposta di registro e di bollo</v>
      </c>
      <c r="O904" s="131">
        <v>5400</v>
      </c>
      <c r="P904" s="614" t="str">
        <f>VLOOKUP(O904,'Centri di Costo'!$A$2:$B$179,2,FALSE)</f>
        <v xml:space="preserve">Ragioneria - Attività Ordinaria </v>
      </c>
      <c r="Q904" s="630" t="s">
        <v>1844</v>
      </c>
      <c r="R904" s="642" t="s">
        <v>47</v>
      </c>
    </row>
    <row r="905" spans="1:18" ht="28.5" customHeight="1" outlineLevel="2">
      <c r="A905" s="85" t="s">
        <v>89</v>
      </c>
      <c r="B905" s="404">
        <v>54</v>
      </c>
      <c r="C905" s="85" t="s">
        <v>233</v>
      </c>
      <c r="D905" s="148" t="s">
        <v>7</v>
      </c>
      <c r="E905" s="87">
        <v>2018</v>
      </c>
      <c r="F905" s="88">
        <v>152</v>
      </c>
      <c r="G905" s="120" t="s">
        <v>258</v>
      </c>
      <c r="H905" s="581" t="s">
        <v>1583</v>
      </c>
      <c r="I905" s="601">
        <v>180000</v>
      </c>
      <c r="J905" s="595" t="s">
        <v>9</v>
      </c>
      <c r="K905" s="91">
        <v>1</v>
      </c>
      <c r="L905" s="91">
        <v>2</v>
      </c>
      <c r="M905" s="92">
        <v>20</v>
      </c>
      <c r="N905" s="119" t="str">
        <f>VLOOKUP(M905,'PF Uscite Sp. Corr.'!$C$1:$E$100,2,FALSE)</f>
        <v>Imposte sul reddito delle persone giuridiche (ex IRPEG)</v>
      </c>
      <c r="O905" s="131">
        <v>5400</v>
      </c>
      <c r="P905" s="614" t="str">
        <f>VLOOKUP(O905,'Centri di Costo'!$A$2:$B$179,2,FALSE)</f>
        <v xml:space="preserve">Ragioneria - Attività Ordinaria </v>
      </c>
      <c r="Q905" s="630" t="s">
        <v>1844</v>
      </c>
      <c r="R905" s="642" t="s">
        <v>39</v>
      </c>
    </row>
    <row r="906" spans="1:18" ht="28.5" customHeight="1" outlineLevel="2">
      <c r="A906" s="85" t="s">
        <v>5</v>
      </c>
      <c r="B906" s="404">
        <v>54</v>
      </c>
      <c r="C906" s="85" t="s">
        <v>32</v>
      </c>
      <c r="D906" s="148" t="s">
        <v>7</v>
      </c>
      <c r="E906" s="87">
        <v>2018</v>
      </c>
      <c r="F906" s="88">
        <v>275</v>
      </c>
      <c r="G906" s="120" t="s">
        <v>37</v>
      </c>
      <c r="H906" s="581" t="s">
        <v>38</v>
      </c>
      <c r="I906" s="601">
        <v>50000</v>
      </c>
      <c r="J906" s="595" t="s">
        <v>9</v>
      </c>
      <c r="K906" s="91">
        <v>1</v>
      </c>
      <c r="L906" s="91">
        <v>2</v>
      </c>
      <c r="M906" s="92">
        <v>20</v>
      </c>
      <c r="N906" s="119" t="str">
        <f>VLOOKUP(M906,'PF Uscite Sp. Corr.'!$C$1:$E$100,2,FALSE)</f>
        <v>Imposte sul reddito delle persone giuridiche (ex IRPEG)</v>
      </c>
      <c r="O906" s="131">
        <v>5400</v>
      </c>
      <c r="P906" s="614" t="str">
        <f>VLOOKUP(O906,'Centri di Costo'!$A$2:$B$179,2,FALSE)</f>
        <v xml:space="preserve">Ragioneria - Attività Ordinaria </v>
      </c>
      <c r="Q906" s="630" t="s">
        <v>1844</v>
      </c>
      <c r="R906" s="642" t="s">
        <v>39</v>
      </c>
    </row>
    <row r="907" spans="1:18" s="112" customFormat="1" ht="28.5" customHeight="1" outlineLevel="2">
      <c r="A907" s="85" t="s">
        <v>89</v>
      </c>
      <c r="B907" s="404">
        <v>54</v>
      </c>
      <c r="C907" s="85" t="s">
        <v>233</v>
      </c>
      <c r="D907" s="148" t="s">
        <v>7</v>
      </c>
      <c r="E907" s="87">
        <v>2018</v>
      </c>
      <c r="F907" s="88">
        <v>152</v>
      </c>
      <c r="G907" s="120" t="s">
        <v>258</v>
      </c>
      <c r="H907" s="581" t="s">
        <v>259</v>
      </c>
      <c r="I907" s="601">
        <v>10000</v>
      </c>
      <c r="J907" s="595" t="s">
        <v>9</v>
      </c>
      <c r="K907" s="91">
        <v>1</v>
      </c>
      <c r="L907" s="91">
        <v>2</v>
      </c>
      <c r="M907" s="92">
        <v>29</v>
      </c>
      <c r="N907" s="119" t="str">
        <f>VLOOKUP(M907,'PF Uscite Sp. Corr.'!$C$1:$E$100,2,FALSE)</f>
        <v>Imposte, tasse e proventi assimilati a carico dell'ente n.a.c.</v>
      </c>
      <c r="O907" s="131">
        <v>5400</v>
      </c>
      <c r="P907" s="614" t="str">
        <f>VLOOKUP(O907,'Centri di Costo'!$A$2:$B$179,2,FALSE)</f>
        <v xml:space="preserve">Ragioneria - Attività Ordinaria </v>
      </c>
      <c r="Q907" s="630" t="s">
        <v>1844</v>
      </c>
      <c r="R907" s="642" t="s">
        <v>49</v>
      </c>
    </row>
    <row r="908" spans="1:18" ht="28.5" customHeight="1" outlineLevel="2">
      <c r="A908" s="85" t="s">
        <v>89</v>
      </c>
      <c r="B908" s="404">
        <v>54</v>
      </c>
      <c r="C908" s="85" t="s">
        <v>233</v>
      </c>
      <c r="D908" s="148" t="s">
        <v>7</v>
      </c>
      <c r="E908" s="87">
        <v>2018</v>
      </c>
      <c r="F908" s="88">
        <v>154</v>
      </c>
      <c r="G908" s="120" t="s">
        <v>248</v>
      </c>
      <c r="H908" s="581" t="s">
        <v>1526</v>
      </c>
      <c r="I908" s="601">
        <v>1000</v>
      </c>
      <c r="J908" s="595" t="s">
        <v>9</v>
      </c>
      <c r="K908" s="91">
        <v>1</v>
      </c>
      <c r="L908" s="91">
        <v>3</v>
      </c>
      <c r="M908" s="92">
        <v>31</v>
      </c>
      <c r="N908" s="119" t="str">
        <f>VLOOKUP(M908,'PF Uscite Sp. Corr.'!$C$1:$E$100,2,FALSE)</f>
        <v>Giornali, riviste e pubblicazioni</v>
      </c>
      <c r="O908" s="131">
        <v>5400</v>
      </c>
      <c r="P908" s="614" t="str">
        <f>VLOOKUP(O908,'Centri di Costo'!$A$2:$B$179,2,FALSE)</f>
        <v xml:space="preserve">Ragioneria - Attività Ordinaria </v>
      </c>
      <c r="Q908" s="623" t="s">
        <v>2014</v>
      </c>
      <c r="R908" s="642" t="s">
        <v>256</v>
      </c>
    </row>
    <row r="909" spans="1:18" ht="28.5" customHeight="1" outlineLevel="2">
      <c r="A909" s="85" t="s">
        <v>89</v>
      </c>
      <c r="B909" s="404">
        <v>54</v>
      </c>
      <c r="C909" s="85" t="s">
        <v>233</v>
      </c>
      <c r="D909" s="148" t="s">
        <v>7</v>
      </c>
      <c r="E909" s="87">
        <v>2018</v>
      </c>
      <c r="F909" s="88">
        <v>278</v>
      </c>
      <c r="G909" s="120" t="s">
        <v>234</v>
      </c>
      <c r="H909" s="581" t="s">
        <v>235</v>
      </c>
      <c r="I909" s="607">
        <f>10000+1000</f>
        <v>11000</v>
      </c>
      <c r="J909" s="595" t="s">
        <v>9</v>
      </c>
      <c r="K909" s="91">
        <v>1</v>
      </c>
      <c r="L909" s="91">
        <v>3</v>
      </c>
      <c r="M909" s="92">
        <v>41</v>
      </c>
      <c r="N909" s="119" t="str">
        <f>VLOOKUP(M909,'PF Uscite Sp. Corr.'!$C$1:$E$100,2,FALSE)</f>
        <v>Organi e incarichi istituzionali dell'amministrazione</v>
      </c>
      <c r="O909" s="131">
        <v>5400</v>
      </c>
      <c r="P909" s="614" t="str">
        <f>VLOOKUP(O909,'Centri di Costo'!$A$2:$B$179,2,FALSE)</f>
        <v xml:space="preserve">Ragioneria - Attività Ordinaria </v>
      </c>
      <c r="Q909" s="622" t="s">
        <v>1844</v>
      </c>
      <c r="R909" s="642" t="s">
        <v>236</v>
      </c>
    </row>
    <row r="910" spans="1:18" ht="28.5" customHeight="1" outlineLevel="2">
      <c r="A910" s="85" t="s">
        <v>89</v>
      </c>
      <c r="B910" s="404">
        <v>54</v>
      </c>
      <c r="C910" s="85" t="s">
        <v>233</v>
      </c>
      <c r="D910" s="148" t="s">
        <v>7</v>
      </c>
      <c r="E910" s="87">
        <v>2018</v>
      </c>
      <c r="F910" s="88">
        <v>154</v>
      </c>
      <c r="G910" s="120" t="s">
        <v>248</v>
      </c>
      <c r="H910" s="581" t="s">
        <v>249</v>
      </c>
      <c r="I910" s="601">
        <f>7000-1000</f>
        <v>6000</v>
      </c>
      <c r="J910" s="595" t="s">
        <v>9</v>
      </c>
      <c r="K910" s="91">
        <v>1</v>
      </c>
      <c r="L910" s="91">
        <v>3</v>
      </c>
      <c r="M910" s="92">
        <v>53</v>
      </c>
      <c r="N910" s="119" t="str">
        <f>VLOOKUP(M910,'PF Uscite Sp. Corr.'!$C$1:$E$100,2,FALSE)</f>
        <v>Servizi ausiliari per il funzionamento dell'ente</v>
      </c>
      <c r="O910" s="131">
        <v>5400</v>
      </c>
      <c r="P910" s="614" t="str">
        <f>VLOOKUP(O910,'Centri di Costo'!$A$2:$B$179,2,FALSE)</f>
        <v xml:space="preserve">Ragioneria - Attività Ordinaria </v>
      </c>
      <c r="Q910" s="623" t="s">
        <v>2014</v>
      </c>
      <c r="R910" s="642" t="s">
        <v>78</v>
      </c>
    </row>
    <row r="911" spans="1:18" s="529" customFormat="1" ht="28.5" customHeight="1" outlineLevel="2">
      <c r="A911" s="85" t="s">
        <v>89</v>
      </c>
      <c r="B911" s="404">
        <v>54</v>
      </c>
      <c r="C911" s="85" t="s">
        <v>233</v>
      </c>
      <c r="D911" s="148" t="s">
        <v>7</v>
      </c>
      <c r="E911" s="87">
        <v>2018</v>
      </c>
      <c r="F911" s="88">
        <v>274</v>
      </c>
      <c r="G911" s="120" t="s">
        <v>237</v>
      </c>
      <c r="H911" s="581" t="s">
        <v>1582</v>
      </c>
      <c r="I911" s="601">
        <v>3200</v>
      </c>
      <c r="J911" s="595" t="s">
        <v>9</v>
      </c>
      <c r="K911" s="91">
        <v>1</v>
      </c>
      <c r="L911" s="91">
        <v>3</v>
      </c>
      <c r="M911" s="92">
        <v>55</v>
      </c>
      <c r="N911" s="119" t="str">
        <f>VLOOKUP(M911,'PF Uscite Sp. Corr.'!$C$1:$E$100,2,FALSE)</f>
        <v>Altri servizi</v>
      </c>
      <c r="O911" s="131">
        <v>5400</v>
      </c>
      <c r="P911" s="614" t="str">
        <f>VLOOKUP(O911,'Centri di Costo'!$A$2:$B$179,2,FALSE)</f>
        <v xml:space="preserve">Ragioneria - Attività Ordinaria </v>
      </c>
      <c r="Q911" s="623" t="s">
        <v>2014</v>
      </c>
      <c r="R911" s="642" t="s">
        <v>239</v>
      </c>
    </row>
    <row r="912" spans="1:18" ht="28.5" customHeight="1" outlineLevel="2">
      <c r="A912" s="85" t="s">
        <v>89</v>
      </c>
      <c r="B912" s="404">
        <v>54</v>
      </c>
      <c r="C912" s="85" t="s">
        <v>233</v>
      </c>
      <c r="D912" s="148" t="s">
        <v>7</v>
      </c>
      <c r="E912" s="87">
        <v>2018</v>
      </c>
      <c r="F912" s="88">
        <v>154</v>
      </c>
      <c r="G912" s="120" t="s">
        <v>248</v>
      </c>
      <c r="H912" s="581" t="s">
        <v>257</v>
      </c>
      <c r="I912" s="601">
        <v>3000</v>
      </c>
      <c r="J912" s="595" t="s">
        <v>9</v>
      </c>
      <c r="K912" s="91">
        <v>1</v>
      </c>
      <c r="L912" s="91">
        <v>3</v>
      </c>
      <c r="M912" s="92">
        <v>56</v>
      </c>
      <c r="N912" s="119" t="str">
        <f>VLOOKUP(M912,'PF Uscite Sp. Corr.'!$C$1:$E$100,2,FALSE)</f>
        <v>Servizi amministrativi</v>
      </c>
      <c r="O912" s="131">
        <v>5400</v>
      </c>
      <c r="P912" s="614" t="str">
        <f>VLOOKUP(O912,'Centri di Costo'!$A$2:$B$179,2,FALSE)</f>
        <v xml:space="preserve">Ragioneria - Attività Ordinaria </v>
      </c>
      <c r="Q912" s="623" t="s">
        <v>2014</v>
      </c>
      <c r="R912" s="642" t="s">
        <v>79</v>
      </c>
    </row>
    <row r="913" spans="1:18" s="139" customFormat="1" ht="28.5" customHeight="1" outlineLevel="2">
      <c r="A913" s="115" t="s">
        <v>89</v>
      </c>
      <c r="B913" s="404">
        <v>54</v>
      </c>
      <c r="C913" s="115" t="s">
        <v>233</v>
      </c>
      <c r="D913" s="417" t="s">
        <v>7</v>
      </c>
      <c r="E913" s="412">
        <v>2018</v>
      </c>
      <c r="F913" s="88">
        <v>154</v>
      </c>
      <c r="G913" s="123" t="s">
        <v>248</v>
      </c>
      <c r="H913" s="583" t="s">
        <v>250</v>
      </c>
      <c r="I913" s="603">
        <v>5000</v>
      </c>
      <c r="J913" s="596" t="s">
        <v>9</v>
      </c>
      <c r="K913" s="216">
        <v>1</v>
      </c>
      <c r="L913" s="216">
        <v>3</v>
      </c>
      <c r="M913" s="418">
        <v>57</v>
      </c>
      <c r="N913" s="118" t="str">
        <f>VLOOKUP(M913,'PF Uscite Sp. Corr.'!$C$1:$E$100,2,FALSE)</f>
        <v>Servizi finanziari</v>
      </c>
      <c r="O913" s="419">
        <v>5400</v>
      </c>
      <c r="P913" s="615" t="str">
        <f>VLOOKUP(O913,'Centri di Costo'!$A$2:$B$179,2,FALSE)</f>
        <v xml:space="preserve">Ragioneria - Attività Ordinaria </v>
      </c>
      <c r="Q913" s="623" t="s">
        <v>2014</v>
      </c>
      <c r="R913" s="648" t="s">
        <v>251</v>
      </c>
    </row>
    <row r="914" spans="1:18" ht="28.5" customHeight="1" outlineLevel="2">
      <c r="A914" s="94" t="s">
        <v>89</v>
      </c>
      <c r="B914" s="404">
        <v>54</v>
      </c>
      <c r="C914" s="94" t="s">
        <v>233</v>
      </c>
      <c r="D914" s="149" t="s">
        <v>7</v>
      </c>
      <c r="E914" s="101">
        <v>2018</v>
      </c>
      <c r="F914" s="88">
        <v>154</v>
      </c>
      <c r="G914" s="121" t="s">
        <v>248</v>
      </c>
      <c r="H914" s="580" t="s">
        <v>252</v>
      </c>
      <c r="I914" s="600">
        <v>1000</v>
      </c>
      <c r="J914" s="594" t="s">
        <v>9</v>
      </c>
      <c r="K914" s="99">
        <v>1</v>
      </c>
      <c r="L914" s="99">
        <v>3</v>
      </c>
      <c r="M914" s="113">
        <v>59</v>
      </c>
      <c r="N914" s="128" t="str">
        <f>VLOOKUP(M914,'PF Uscite Sp. Corr.'!$C$1:$E$100,2,FALSE)</f>
        <v>Servizi informatici e di telecomunicazioni</v>
      </c>
      <c r="O914" s="132">
        <v>5400</v>
      </c>
      <c r="P914" s="613" t="str">
        <f>VLOOKUP(O914,'Centri di Costo'!$A$2:$B$179,2,FALSE)</f>
        <v xml:space="preserve">Ragioneria - Attività Ordinaria </v>
      </c>
      <c r="Q914" s="623" t="s">
        <v>2014</v>
      </c>
      <c r="R914" s="639" t="s">
        <v>220</v>
      </c>
    </row>
    <row r="915" spans="1:18" ht="39" customHeight="1" outlineLevel="2">
      <c r="A915" s="85" t="s">
        <v>89</v>
      </c>
      <c r="B915" s="404">
        <v>54</v>
      </c>
      <c r="C915" s="85" t="s">
        <v>233</v>
      </c>
      <c r="D915" s="148" t="s">
        <v>7</v>
      </c>
      <c r="E915" s="87">
        <v>2018</v>
      </c>
      <c r="F915" s="88">
        <v>154</v>
      </c>
      <c r="G915" s="120" t="s">
        <v>248</v>
      </c>
      <c r="H915" s="581" t="s">
        <v>253</v>
      </c>
      <c r="I915" s="601">
        <v>5000</v>
      </c>
      <c r="J915" s="595" t="s">
        <v>9</v>
      </c>
      <c r="K915" s="91">
        <v>1</v>
      </c>
      <c r="L915" s="91">
        <v>9</v>
      </c>
      <c r="M915" s="528">
        <v>78</v>
      </c>
      <c r="N915" s="119" t="str">
        <f>VLOOKUP(M915,'PF Uscite Sp. Corr.'!$C$1:$E$100,2,FALSE)</f>
        <v>Rimborsi di parte corrente ad Amministrazioni Locali di somme non dovute o incassate in eccesso</v>
      </c>
      <c r="O915" s="131">
        <v>5400</v>
      </c>
      <c r="P915" s="614" t="str">
        <f>VLOOKUP(O915,'Centri di Costo'!$A$2:$B$179,2,FALSE)</f>
        <v xml:space="preserve">Ragioneria - Attività Ordinaria </v>
      </c>
      <c r="Q915" s="622" t="s">
        <v>1844</v>
      </c>
      <c r="R915" s="654" t="s">
        <v>254</v>
      </c>
    </row>
    <row r="916" spans="1:18" s="139" customFormat="1" ht="28.5" customHeight="1" outlineLevel="2">
      <c r="A916" s="115" t="s">
        <v>89</v>
      </c>
      <c r="B916" s="404">
        <v>54</v>
      </c>
      <c r="C916" s="115" t="s">
        <v>233</v>
      </c>
      <c r="D916" s="417" t="s">
        <v>7</v>
      </c>
      <c r="E916" s="412">
        <v>2018</v>
      </c>
      <c r="F916" s="413">
        <v>152</v>
      </c>
      <c r="G916" s="123" t="s">
        <v>258</v>
      </c>
      <c r="H916" s="583" t="s">
        <v>261</v>
      </c>
      <c r="I916" s="603">
        <v>250000</v>
      </c>
      <c r="J916" s="596" t="s">
        <v>9</v>
      </c>
      <c r="K916" s="216">
        <v>1</v>
      </c>
      <c r="L916" s="216">
        <v>10</v>
      </c>
      <c r="M916" s="418">
        <v>90</v>
      </c>
      <c r="N916" s="118" t="str">
        <f>VLOOKUP(M916,'PF Uscite Sp. Corr.'!$C$1:$E$100,2,FALSE)</f>
        <v>Versamenti IVA a debito per le gestioni commerciali</v>
      </c>
      <c r="O916" s="419">
        <v>5400</v>
      </c>
      <c r="P916" s="615" t="str">
        <f>VLOOKUP(O916,'Centri di Costo'!$A$2:$B$179,2,FALSE)</f>
        <v xml:space="preserve">Ragioneria - Attività Ordinaria </v>
      </c>
      <c r="Q916" s="622" t="s">
        <v>1844</v>
      </c>
      <c r="R916" s="648" t="s">
        <v>262</v>
      </c>
    </row>
    <row r="917" spans="1:18" s="215" customFormat="1" ht="20.25" customHeight="1" outlineLevel="1" collapsed="1">
      <c r="A917" s="160"/>
      <c r="B917" s="433" t="s">
        <v>1926</v>
      </c>
      <c r="C917" s="161"/>
      <c r="D917" s="437"/>
      <c r="E917" s="438"/>
      <c r="F917" s="438"/>
      <c r="G917" s="441" t="s">
        <v>1938</v>
      </c>
      <c r="H917" s="214" t="s">
        <v>1979</v>
      </c>
      <c r="I917" s="605">
        <f>SUBTOTAL(9,I903:I916)</f>
        <v>917700</v>
      </c>
      <c r="J917" s="212"/>
      <c r="K917" s="179"/>
      <c r="L917" s="179"/>
      <c r="M917" s="213"/>
      <c r="N917" s="434"/>
      <c r="O917" s="439"/>
      <c r="P917" s="435"/>
      <c r="Q917" s="620"/>
      <c r="R917" s="645"/>
    </row>
    <row r="918" spans="1:18" s="205" customFormat="1" ht="13.5" customHeight="1">
      <c r="A918" s="535"/>
      <c r="B918" s="536"/>
      <c r="C918" s="537"/>
      <c r="D918" s="537"/>
      <c r="E918" s="537"/>
      <c r="F918" s="540"/>
      <c r="G918" s="537" t="str">
        <f>C919</f>
        <v>SETTORE FINANZIARIO RAGIONERIA</v>
      </c>
      <c r="H918" s="540"/>
      <c r="I918" s="599"/>
      <c r="J918" s="537"/>
      <c r="K918" s="537"/>
      <c r="L918" s="537"/>
      <c r="M918" s="537"/>
      <c r="N918" s="537"/>
      <c r="O918" s="538"/>
      <c r="P918" s="539"/>
      <c r="Q918" s="618"/>
      <c r="R918" s="638"/>
    </row>
    <row r="919" spans="1:18" s="139" customFormat="1" ht="39.75" customHeight="1" outlineLevel="2">
      <c r="A919" s="397" t="s">
        <v>89</v>
      </c>
      <c r="B919" s="403" t="s">
        <v>1978</v>
      </c>
      <c r="C919" s="397" t="s">
        <v>233</v>
      </c>
      <c r="D919" s="140" t="s">
        <v>7</v>
      </c>
      <c r="E919" s="141">
        <v>2018</v>
      </c>
      <c r="F919" s="102">
        <v>155</v>
      </c>
      <c r="G919" s="124" t="s">
        <v>266</v>
      </c>
      <c r="H919" s="142" t="s">
        <v>269</v>
      </c>
      <c r="I919" s="604">
        <f>135+65</f>
        <v>200</v>
      </c>
      <c r="J919" s="135" t="s">
        <v>1587</v>
      </c>
      <c r="K919" s="136">
        <v>1</v>
      </c>
      <c r="L919" s="99">
        <v>7</v>
      </c>
      <c r="M919" s="99">
        <v>70</v>
      </c>
      <c r="N919" s="128" t="str">
        <f>VLOOKUP(M919,'PF Uscite Sp. Corr.'!$C$1:$E$100,2,FALSE)</f>
        <v xml:space="preserve">Interessi passivi a Amministrazioni Locali su mutui e altri finanziamenti a medio lungo termine </v>
      </c>
      <c r="O919" s="395">
        <v>5401</v>
      </c>
      <c r="P919" s="170" t="str">
        <f>VLOOKUP(O919,'Centri di Costo'!$A$2:$B$179,2,FALSE)</f>
        <v xml:space="preserve">Ragioneria - Spese Mutui </v>
      </c>
      <c r="Q919" s="622" t="s">
        <v>1844</v>
      </c>
      <c r="R919" s="644" t="s">
        <v>25</v>
      </c>
    </row>
    <row r="920" spans="1:18" ht="39.75" customHeight="1" outlineLevel="2">
      <c r="A920" s="85" t="s">
        <v>89</v>
      </c>
      <c r="B920" s="403" t="s">
        <v>1978</v>
      </c>
      <c r="C920" s="85" t="s">
        <v>233</v>
      </c>
      <c r="D920" s="86" t="s">
        <v>7</v>
      </c>
      <c r="E920" s="87">
        <v>2018</v>
      </c>
      <c r="F920" s="88">
        <v>155</v>
      </c>
      <c r="G920" s="120" t="s">
        <v>266</v>
      </c>
      <c r="H920" s="589" t="s">
        <v>271</v>
      </c>
      <c r="I920" s="601">
        <f>200+100</f>
        <v>300</v>
      </c>
      <c r="J920" s="135" t="s">
        <v>1587</v>
      </c>
      <c r="K920" s="136">
        <v>1</v>
      </c>
      <c r="L920" s="99">
        <v>7</v>
      </c>
      <c r="M920" s="99">
        <v>70</v>
      </c>
      <c r="N920" s="119" t="str">
        <f>VLOOKUP(M920,'PF Uscite Sp. Corr.'!$C$1:$E$100,2,FALSE)</f>
        <v xml:space="preserve">Interessi passivi a Amministrazioni Locali su mutui e altri finanziamenti a medio lungo termine </v>
      </c>
      <c r="O920" s="131">
        <v>5401</v>
      </c>
      <c r="P920" s="614" t="str">
        <f>VLOOKUP(O920,'Centri di Costo'!$A$2:$B$179,2,FALSE)</f>
        <v xml:space="preserve">Ragioneria - Spese Mutui </v>
      </c>
      <c r="Q920" s="622" t="s">
        <v>1844</v>
      </c>
      <c r="R920" s="642" t="s">
        <v>272</v>
      </c>
    </row>
    <row r="921" spans="1:18" ht="28.5" customHeight="1" outlineLevel="2">
      <c r="A921" s="85" t="s">
        <v>89</v>
      </c>
      <c r="B921" s="403" t="s">
        <v>1978</v>
      </c>
      <c r="C921" s="85" t="s">
        <v>233</v>
      </c>
      <c r="D921" s="86" t="s">
        <v>7</v>
      </c>
      <c r="E921" s="87">
        <v>2018</v>
      </c>
      <c r="F921" s="88">
        <v>155</v>
      </c>
      <c r="G921" s="120" t="s">
        <v>266</v>
      </c>
      <c r="H921" s="589" t="s">
        <v>267</v>
      </c>
      <c r="I921" s="601">
        <v>11509</v>
      </c>
      <c r="J921" s="135" t="s">
        <v>1588</v>
      </c>
      <c r="K921" s="136">
        <v>4</v>
      </c>
      <c r="L921" s="99">
        <v>3</v>
      </c>
      <c r="M921" s="99">
        <v>23</v>
      </c>
      <c r="N921" s="119" t="s">
        <v>2032</v>
      </c>
      <c r="O921" s="131">
        <v>5401</v>
      </c>
      <c r="P921" s="614" t="str">
        <f>VLOOKUP(O921,'Centri di Costo'!$A$2:$B$179,2,FALSE)</f>
        <v xml:space="preserve">Ragioneria - Spese Mutui </v>
      </c>
      <c r="Q921" s="622" t="s">
        <v>1844</v>
      </c>
      <c r="R921" s="642" t="s">
        <v>13</v>
      </c>
    </row>
    <row r="922" spans="1:18" ht="33" customHeight="1" outlineLevel="2">
      <c r="A922" s="94" t="s">
        <v>89</v>
      </c>
      <c r="B922" s="403" t="s">
        <v>1978</v>
      </c>
      <c r="C922" s="94" t="s">
        <v>233</v>
      </c>
      <c r="D922" s="100" t="s">
        <v>7</v>
      </c>
      <c r="E922" s="101">
        <v>2018</v>
      </c>
      <c r="F922" s="102">
        <v>155</v>
      </c>
      <c r="G922" s="121" t="s">
        <v>266</v>
      </c>
      <c r="H922" s="590" t="s">
        <v>268</v>
      </c>
      <c r="I922" s="600">
        <v>116</v>
      </c>
      <c r="J922" s="594" t="s">
        <v>1588</v>
      </c>
      <c r="K922" s="99">
        <v>4</v>
      </c>
      <c r="L922" s="99">
        <v>3</v>
      </c>
      <c r="M922" s="99">
        <v>23</v>
      </c>
      <c r="N922" s="119" t="s">
        <v>2032</v>
      </c>
      <c r="O922" s="132">
        <v>5401</v>
      </c>
      <c r="P922" s="613" t="str">
        <f>VLOOKUP(O922,'Centri di Costo'!$A$2:$B$179,2,FALSE)</f>
        <v xml:space="preserve">Ragioneria - Spese Mutui </v>
      </c>
      <c r="Q922" s="622" t="s">
        <v>1844</v>
      </c>
      <c r="R922" s="639" t="s">
        <v>25</v>
      </c>
    </row>
    <row r="923" spans="1:18" s="139" customFormat="1" ht="28.5" customHeight="1" outlineLevel="2">
      <c r="A923" s="115" t="s">
        <v>89</v>
      </c>
      <c r="B923" s="403" t="s">
        <v>1978</v>
      </c>
      <c r="C923" s="115" t="s">
        <v>233</v>
      </c>
      <c r="D923" s="411" t="s">
        <v>7</v>
      </c>
      <c r="E923" s="412">
        <v>2018</v>
      </c>
      <c r="F923" s="413">
        <v>155</v>
      </c>
      <c r="G923" s="123" t="s">
        <v>266</v>
      </c>
      <c r="H923" s="591" t="s">
        <v>270</v>
      </c>
      <c r="I923" s="603">
        <v>11575</v>
      </c>
      <c r="J923" s="597" t="s">
        <v>1588</v>
      </c>
      <c r="K923" s="248">
        <v>4</v>
      </c>
      <c r="L923" s="216">
        <v>3</v>
      </c>
      <c r="M923" s="216">
        <v>23</v>
      </c>
      <c r="N923" s="119" t="s">
        <v>2032</v>
      </c>
      <c r="O923" s="419">
        <v>5401</v>
      </c>
      <c r="P923" s="615" t="str">
        <f>VLOOKUP(O923,'Centri di Costo'!$A$2:$B$179,2,FALSE)</f>
        <v xml:space="preserve">Ragioneria - Spese Mutui </v>
      </c>
      <c r="Q923" s="622" t="s">
        <v>1844</v>
      </c>
      <c r="R923" s="648" t="s">
        <v>25</v>
      </c>
    </row>
    <row r="924" spans="1:18" s="215" customFormat="1" ht="20.25" customHeight="1" outlineLevel="1" collapsed="1">
      <c r="A924" s="160"/>
      <c r="B924" s="433" t="s">
        <v>1977</v>
      </c>
      <c r="C924" s="161"/>
      <c r="D924" s="235"/>
      <c r="E924" s="438"/>
      <c r="F924" s="438"/>
      <c r="G924" s="441" t="s">
        <v>1938</v>
      </c>
      <c r="H924" s="214" t="s">
        <v>1980</v>
      </c>
      <c r="I924" s="605">
        <f>SUBTOTAL(9,I919:I923)</f>
        <v>23700</v>
      </c>
      <c r="J924" s="212"/>
      <c r="K924" s="179"/>
      <c r="L924" s="179"/>
      <c r="M924" s="179"/>
      <c r="N924" s="440"/>
      <c r="O924" s="439"/>
      <c r="P924" s="435"/>
      <c r="Q924" s="626"/>
      <c r="R924" s="645"/>
    </row>
    <row r="925" spans="1:18" s="139" customFormat="1" ht="39" customHeight="1" outlineLevel="2">
      <c r="A925" s="396" t="s">
        <v>89</v>
      </c>
      <c r="B925" s="404" t="s">
        <v>1890</v>
      </c>
      <c r="C925" s="396" t="s">
        <v>233</v>
      </c>
      <c r="D925" s="426" t="s">
        <v>7</v>
      </c>
      <c r="E925" s="422">
        <v>2018</v>
      </c>
      <c r="F925" s="423">
        <v>156</v>
      </c>
      <c r="G925" s="208" t="s">
        <v>273</v>
      </c>
      <c r="H925" s="592" t="s">
        <v>274</v>
      </c>
      <c r="I925" s="604">
        <v>1900</v>
      </c>
      <c r="J925" s="597" t="s">
        <v>1586</v>
      </c>
      <c r="K925" s="248">
        <v>1</v>
      </c>
      <c r="L925" s="248">
        <v>7</v>
      </c>
      <c r="M925" s="248">
        <v>72</v>
      </c>
      <c r="N925" s="415" t="str">
        <f>VLOOKUP(M925,'PF Uscite Sp. Corr.'!$C$1:$E$100,2,FALSE)</f>
        <v>Interessi passivi su anticipazioni di tesoreria degli istituti tesorieri/cassieri</v>
      </c>
      <c r="O925" s="424">
        <v>5402</v>
      </c>
      <c r="P925" s="616" t="str">
        <f>VLOOKUP(O925,'Centri di Costo'!$A$2:$B$179,2,FALSE)</f>
        <v>Ragioneria - Sp. Anticipaz. di Tesoreria</v>
      </c>
      <c r="Q925" s="622" t="s">
        <v>1844</v>
      </c>
      <c r="R925" s="646" t="s">
        <v>13</v>
      </c>
    </row>
    <row r="926" spans="1:18" s="215" customFormat="1" ht="20.25" customHeight="1" outlineLevel="1" collapsed="1">
      <c r="A926" s="160"/>
      <c r="B926" s="433" t="s">
        <v>1935</v>
      </c>
      <c r="C926" s="161"/>
      <c r="D926" s="235"/>
      <c r="E926" s="438"/>
      <c r="F926" s="438"/>
      <c r="G926" s="441" t="s">
        <v>1938</v>
      </c>
      <c r="H926" s="214" t="s">
        <v>1981</v>
      </c>
      <c r="I926" s="605">
        <f>SUBTOTAL(9,I925:I925)</f>
        <v>1900</v>
      </c>
      <c r="J926" s="212"/>
      <c r="K926" s="179"/>
      <c r="L926" s="179"/>
      <c r="M926" s="179"/>
      <c r="N926" s="434"/>
      <c r="O926" s="439"/>
      <c r="P926" s="435"/>
      <c r="Q926" s="626"/>
      <c r="R926" s="645"/>
    </row>
    <row r="927" spans="1:18" s="205" customFormat="1" ht="13.5" customHeight="1">
      <c r="A927" s="535"/>
      <c r="B927" s="536"/>
      <c r="C927" s="537"/>
      <c r="D927" s="537"/>
      <c r="E927" s="537"/>
      <c r="F927" s="540"/>
      <c r="G927" s="537" t="str">
        <f>A928</f>
        <v>SEZIONE AMMINISTRATIVA</v>
      </c>
      <c r="H927" s="540"/>
      <c r="I927" s="599"/>
      <c r="J927" s="537"/>
      <c r="K927" s="537"/>
      <c r="L927" s="537"/>
      <c r="M927" s="537"/>
      <c r="N927" s="537"/>
      <c r="O927" s="538"/>
      <c r="P927" s="539"/>
      <c r="Q927" s="618"/>
      <c r="R927" s="638"/>
    </row>
    <row r="928" spans="1:18" ht="28.5" customHeight="1" outlineLevel="2">
      <c r="A928" s="94" t="s">
        <v>89</v>
      </c>
      <c r="B928" s="402" t="s">
        <v>1883</v>
      </c>
      <c r="C928" s="94" t="s">
        <v>90</v>
      </c>
      <c r="D928" s="149" t="s">
        <v>7</v>
      </c>
      <c r="E928" s="101">
        <v>2018</v>
      </c>
      <c r="F928" s="102">
        <v>22</v>
      </c>
      <c r="G928" s="121" t="s">
        <v>122</v>
      </c>
      <c r="H928" s="580" t="s">
        <v>123</v>
      </c>
      <c r="I928" s="600">
        <v>1500</v>
      </c>
      <c r="J928" s="594" t="s">
        <v>9</v>
      </c>
      <c r="K928" s="99">
        <v>1</v>
      </c>
      <c r="L928" s="99">
        <v>2</v>
      </c>
      <c r="M928" s="113">
        <v>12</v>
      </c>
      <c r="N928" s="128" t="str">
        <f>VLOOKUP(M928,'PF Uscite Sp. Corr.'!$C$1:$E$100,2,FALSE)</f>
        <v>Imposta di registro e di bollo</v>
      </c>
      <c r="O928" s="132">
        <v>5911</v>
      </c>
      <c r="P928" s="613" t="str">
        <f>VLOOKUP(O928,'Centri di Costo'!$A$2:$B$179,2,FALSE)</f>
        <v>Att. Ord. Patrimonio - Agripolis e imposte sul patrimonio</v>
      </c>
      <c r="Q928" s="622" t="s">
        <v>1844</v>
      </c>
      <c r="R928" s="639" t="s">
        <v>47</v>
      </c>
    </row>
    <row r="929" spans="1:18" ht="28.5" customHeight="1" outlineLevel="2">
      <c r="A929" s="85" t="s">
        <v>89</v>
      </c>
      <c r="B929" s="402" t="s">
        <v>1883</v>
      </c>
      <c r="C929" s="85" t="s">
        <v>90</v>
      </c>
      <c r="D929" s="148" t="s">
        <v>7</v>
      </c>
      <c r="E929" s="87">
        <v>2018</v>
      </c>
      <c r="F929" s="88">
        <v>1</v>
      </c>
      <c r="G929" s="120" t="s">
        <v>124</v>
      </c>
      <c r="H929" s="581" t="s">
        <v>133</v>
      </c>
      <c r="I929" s="601">
        <v>16500</v>
      </c>
      <c r="J929" s="595" t="s">
        <v>9</v>
      </c>
      <c r="K929" s="91">
        <v>1</v>
      </c>
      <c r="L929" s="91">
        <v>2</v>
      </c>
      <c r="M929" s="92">
        <v>16</v>
      </c>
      <c r="N929" s="119" t="str">
        <f>VLOOKUP(M929,'PF Uscite Sp. Corr.'!$C$1:$E$100,2,FALSE)</f>
        <v>Tassa e/o tariffa smaltimento rifiuti solidi urbani</v>
      </c>
      <c r="O929" s="131">
        <v>5911</v>
      </c>
      <c r="P929" s="614" t="str">
        <f>VLOOKUP(O929,'Centri di Costo'!$A$2:$B$179,2,FALSE)</f>
        <v>Att. Ord. Patrimonio - Agripolis e imposte sul patrimonio</v>
      </c>
      <c r="Q929" s="622" t="s">
        <v>1844</v>
      </c>
      <c r="R929" s="642" t="s">
        <v>71</v>
      </c>
    </row>
    <row r="930" spans="1:18" ht="28.5" customHeight="1" outlineLevel="2">
      <c r="A930" s="85" t="s">
        <v>89</v>
      </c>
      <c r="B930" s="402" t="s">
        <v>1883</v>
      </c>
      <c r="C930" s="85" t="s">
        <v>90</v>
      </c>
      <c r="D930" s="148" t="s">
        <v>7</v>
      </c>
      <c r="E930" s="87">
        <v>2018</v>
      </c>
      <c r="F930" s="88">
        <v>1</v>
      </c>
      <c r="G930" s="120" t="s">
        <v>124</v>
      </c>
      <c r="H930" s="581" t="s">
        <v>131</v>
      </c>
      <c r="I930" s="601">
        <v>800</v>
      </c>
      <c r="J930" s="595" t="s">
        <v>9</v>
      </c>
      <c r="K930" s="91">
        <v>1</v>
      </c>
      <c r="L930" s="91">
        <v>2</v>
      </c>
      <c r="M930" s="92">
        <v>19</v>
      </c>
      <c r="N930" s="119" t="str">
        <f>VLOOKUP(M930,'PF Uscite Sp. Corr.'!$C$1:$E$100,2,FALSE)</f>
        <v>Tassa di circolazione dei veicoli a motore (tassa automobilistica)</v>
      </c>
      <c r="O930" s="131">
        <v>5911</v>
      </c>
      <c r="P930" s="614" t="str">
        <f>VLOOKUP(O930,'Centri di Costo'!$A$2:$B$179,2,FALSE)</f>
        <v>Att. Ord. Patrimonio - Agripolis e imposte sul patrimonio</v>
      </c>
      <c r="Q930" s="622" t="s">
        <v>1844</v>
      </c>
      <c r="R930" s="642" t="s">
        <v>132</v>
      </c>
    </row>
    <row r="931" spans="1:18" ht="28.5" customHeight="1" outlineLevel="2">
      <c r="A931" s="85" t="s">
        <v>89</v>
      </c>
      <c r="B931" s="402" t="s">
        <v>1883</v>
      </c>
      <c r="C931" s="85" t="s">
        <v>90</v>
      </c>
      <c r="D931" s="148" t="s">
        <v>7</v>
      </c>
      <c r="E931" s="87">
        <v>2018</v>
      </c>
      <c r="F931" s="88">
        <v>1</v>
      </c>
      <c r="G931" s="120" t="s">
        <v>124</v>
      </c>
      <c r="H931" s="581" t="s">
        <v>125</v>
      </c>
      <c r="I931" s="601">
        <v>175000</v>
      </c>
      <c r="J931" s="595" t="s">
        <v>9</v>
      </c>
      <c r="K931" s="91">
        <v>1</v>
      </c>
      <c r="L931" s="91">
        <v>2</v>
      </c>
      <c r="M931" s="92">
        <v>22</v>
      </c>
      <c r="N931" s="119" t="str">
        <f>VLOOKUP(M931,'PF Uscite Sp. Corr.'!$C$1:$E$100,2,FALSE)</f>
        <v>Imposta Municipale Propria</v>
      </c>
      <c r="O931" s="131">
        <v>5911</v>
      </c>
      <c r="P931" s="614" t="str">
        <f>VLOOKUP(O931,'Centri di Costo'!$A$2:$B$179,2,FALSE)</f>
        <v>Att. Ord. Patrimonio - Agripolis e imposte sul patrimonio</v>
      </c>
      <c r="Q931" s="622" t="s">
        <v>1844</v>
      </c>
      <c r="R931" s="642" t="s">
        <v>126</v>
      </c>
    </row>
    <row r="932" spans="1:18" ht="28.5" customHeight="1" outlineLevel="2">
      <c r="A932" s="85" t="s">
        <v>89</v>
      </c>
      <c r="B932" s="402" t="s">
        <v>1883</v>
      </c>
      <c r="C932" s="85" t="s">
        <v>90</v>
      </c>
      <c r="D932" s="148" t="s">
        <v>7</v>
      </c>
      <c r="E932" s="87">
        <v>2018</v>
      </c>
      <c r="F932" s="88">
        <v>1</v>
      </c>
      <c r="G932" s="120" t="s">
        <v>124</v>
      </c>
      <c r="H932" s="581" t="s">
        <v>128</v>
      </c>
      <c r="I932" s="601">
        <v>22000</v>
      </c>
      <c r="J932" s="595" t="s">
        <v>9</v>
      </c>
      <c r="K932" s="91">
        <v>1</v>
      </c>
      <c r="L932" s="91">
        <v>2</v>
      </c>
      <c r="M932" s="92">
        <v>29</v>
      </c>
      <c r="N932" s="119" t="str">
        <f>VLOOKUP(M932,'PF Uscite Sp. Corr.'!$C$1:$E$100,2,FALSE)</f>
        <v>Imposte, tasse e proventi assimilati a carico dell'ente n.a.c.</v>
      </c>
      <c r="O932" s="131">
        <v>5911</v>
      </c>
      <c r="P932" s="614" t="str">
        <f>VLOOKUP(O932,'Centri di Costo'!$A$2:$B$179,2,FALSE)</f>
        <v>Att. Ord. Patrimonio - Agripolis e imposte sul patrimonio</v>
      </c>
      <c r="Q932" s="622" t="s">
        <v>1844</v>
      </c>
      <c r="R932" s="642" t="s">
        <v>129</v>
      </c>
    </row>
    <row r="933" spans="1:18" ht="28.5" customHeight="1" outlineLevel="2">
      <c r="A933" s="85" t="s">
        <v>89</v>
      </c>
      <c r="B933" s="402" t="s">
        <v>1883</v>
      </c>
      <c r="C933" s="85" t="s">
        <v>90</v>
      </c>
      <c r="D933" s="148" t="s">
        <v>7</v>
      </c>
      <c r="E933" s="87">
        <v>2018</v>
      </c>
      <c r="F933" s="88">
        <v>1</v>
      </c>
      <c r="G933" s="120" t="s">
        <v>124</v>
      </c>
      <c r="H933" s="581" t="s">
        <v>130</v>
      </c>
      <c r="I933" s="601">
        <v>1200</v>
      </c>
      <c r="J933" s="595" t="s">
        <v>9</v>
      </c>
      <c r="K933" s="91">
        <v>1</v>
      </c>
      <c r="L933" s="91">
        <v>2</v>
      </c>
      <c r="M933" s="92">
        <v>29</v>
      </c>
      <c r="N933" s="119" t="str">
        <f>VLOOKUP(M933,'PF Uscite Sp. Corr.'!$C$1:$E$100,2,FALSE)</f>
        <v>Imposte, tasse e proventi assimilati a carico dell'ente n.a.c.</v>
      </c>
      <c r="O933" s="131">
        <v>5911</v>
      </c>
      <c r="P933" s="614" t="str">
        <f>VLOOKUP(O933,'Centri di Costo'!$A$2:$B$179,2,FALSE)</f>
        <v>Att. Ord. Patrimonio - Agripolis e imposte sul patrimonio</v>
      </c>
      <c r="Q933" s="622" t="s">
        <v>1844</v>
      </c>
      <c r="R933" s="642" t="s">
        <v>69</v>
      </c>
    </row>
    <row r="934" spans="1:18" ht="28.5" customHeight="1" outlineLevel="2">
      <c r="A934" s="85" t="s">
        <v>89</v>
      </c>
      <c r="B934" s="402" t="s">
        <v>1883</v>
      </c>
      <c r="C934" s="85" t="s">
        <v>90</v>
      </c>
      <c r="D934" s="148" t="s">
        <v>7</v>
      </c>
      <c r="E934" s="87">
        <v>2018</v>
      </c>
      <c r="F934" s="88">
        <v>10</v>
      </c>
      <c r="G934" s="120" t="s">
        <v>101</v>
      </c>
      <c r="H934" s="581" t="s">
        <v>106</v>
      </c>
      <c r="I934" s="601">
        <v>7000</v>
      </c>
      <c r="J934" s="595" t="s">
        <v>9</v>
      </c>
      <c r="K934" s="91">
        <v>1</v>
      </c>
      <c r="L934" s="91">
        <v>3</v>
      </c>
      <c r="M934" s="92">
        <v>32</v>
      </c>
      <c r="N934" s="119" t="str">
        <f>VLOOKUP(M934,'PF Uscite Sp. Corr.'!$C$1:$E$100,2,FALSE)</f>
        <v>Altri beni di consumo</v>
      </c>
      <c r="O934" s="131">
        <v>5911</v>
      </c>
      <c r="P934" s="614" t="str">
        <f>VLOOKUP(O934,'Centri di Costo'!$A$2:$B$179,2,FALSE)</f>
        <v>Att. Ord. Patrimonio - Agripolis e imposte sul patrimonio</v>
      </c>
      <c r="Q934" s="623" t="s">
        <v>2014</v>
      </c>
      <c r="R934" s="642" t="s">
        <v>107</v>
      </c>
    </row>
    <row r="935" spans="1:18" ht="28.5" customHeight="1" outlineLevel="2">
      <c r="A935" s="85" t="s">
        <v>89</v>
      </c>
      <c r="B935" s="402" t="s">
        <v>1883</v>
      </c>
      <c r="C935" s="85" t="s">
        <v>90</v>
      </c>
      <c r="D935" s="148" t="s">
        <v>7</v>
      </c>
      <c r="E935" s="87">
        <v>2018</v>
      </c>
      <c r="F935" s="88">
        <v>10</v>
      </c>
      <c r="G935" s="120" t="s">
        <v>101</v>
      </c>
      <c r="H935" s="581" t="s">
        <v>106</v>
      </c>
      <c r="I935" s="601">
        <v>1500</v>
      </c>
      <c r="J935" s="595" t="s">
        <v>9</v>
      </c>
      <c r="K935" s="91">
        <v>1</v>
      </c>
      <c r="L935" s="91">
        <v>3</v>
      </c>
      <c r="M935" s="92">
        <v>32</v>
      </c>
      <c r="N935" s="119" t="str">
        <f>VLOOKUP(M935,'PF Uscite Sp. Corr.'!$C$1:$E$100,2,FALSE)</f>
        <v>Altri beni di consumo</v>
      </c>
      <c r="O935" s="131">
        <v>5911</v>
      </c>
      <c r="P935" s="614" t="str">
        <f>VLOOKUP(O935,'Centri di Costo'!$A$2:$B$179,2,FALSE)</f>
        <v>Att. Ord. Patrimonio - Agripolis e imposte sul patrimonio</v>
      </c>
      <c r="Q935" s="623" t="s">
        <v>2014</v>
      </c>
      <c r="R935" s="642" t="s">
        <v>113</v>
      </c>
    </row>
    <row r="936" spans="1:18" ht="28.5" customHeight="1" outlineLevel="2">
      <c r="A936" s="85" t="s">
        <v>89</v>
      </c>
      <c r="B936" s="402" t="s">
        <v>1883</v>
      </c>
      <c r="C936" s="85" t="s">
        <v>90</v>
      </c>
      <c r="D936" s="148" t="s">
        <v>7</v>
      </c>
      <c r="E936" s="87">
        <v>2018</v>
      </c>
      <c r="F936" s="88">
        <v>10</v>
      </c>
      <c r="G936" s="120" t="s">
        <v>101</v>
      </c>
      <c r="H936" s="581" t="s">
        <v>104</v>
      </c>
      <c r="I936" s="601">
        <v>6000</v>
      </c>
      <c r="J936" s="595" t="s">
        <v>9</v>
      </c>
      <c r="K936" s="91">
        <v>1</v>
      </c>
      <c r="L936" s="91">
        <v>3</v>
      </c>
      <c r="M936" s="92">
        <v>45</v>
      </c>
      <c r="N936" s="119" t="str">
        <f>VLOOKUP(M936,'PF Uscite Sp. Corr.'!$C$1:$E$100,2,FALSE)</f>
        <v>Utenze e canoni</v>
      </c>
      <c r="O936" s="131">
        <v>5911</v>
      </c>
      <c r="P936" s="614" t="str">
        <f>VLOOKUP(O936,'Centri di Costo'!$A$2:$B$179,2,FALSE)</f>
        <v>Att. Ord. Patrimonio - Agripolis e imposte sul patrimonio</v>
      </c>
      <c r="Q936" s="623" t="s">
        <v>2014</v>
      </c>
      <c r="R936" s="642" t="s">
        <v>105</v>
      </c>
    </row>
    <row r="937" spans="1:18" ht="28.5" customHeight="1" outlineLevel="2">
      <c r="A937" s="85" t="s">
        <v>89</v>
      </c>
      <c r="B937" s="402" t="s">
        <v>1883</v>
      </c>
      <c r="C937" s="85" t="s">
        <v>90</v>
      </c>
      <c r="D937" s="148" t="s">
        <v>7</v>
      </c>
      <c r="E937" s="87">
        <v>2018</v>
      </c>
      <c r="F937" s="88">
        <v>10</v>
      </c>
      <c r="G937" s="120" t="s">
        <v>101</v>
      </c>
      <c r="H937" s="581" t="s">
        <v>110</v>
      </c>
      <c r="I937" s="601">
        <v>1000</v>
      </c>
      <c r="J937" s="595" t="s">
        <v>9</v>
      </c>
      <c r="K937" s="91">
        <v>1</v>
      </c>
      <c r="L937" s="91">
        <v>3</v>
      </c>
      <c r="M937" s="92">
        <v>45</v>
      </c>
      <c r="N937" s="119" t="str">
        <f>VLOOKUP(M937,'PF Uscite Sp. Corr.'!$C$1:$E$100,2,FALSE)</f>
        <v>Utenze e canoni</v>
      </c>
      <c r="O937" s="131">
        <v>5911</v>
      </c>
      <c r="P937" s="614" t="str">
        <f>VLOOKUP(O937,'Centri di Costo'!$A$2:$B$179,2,FALSE)</f>
        <v>Att. Ord. Patrimonio - Agripolis e imposte sul patrimonio</v>
      </c>
      <c r="Q937" s="623" t="s">
        <v>2014</v>
      </c>
      <c r="R937" s="642" t="s">
        <v>75</v>
      </c>
    </row>
    <row r="938" spans="1:18" ht="28.5" customHeight="1" outlineLevel="2">
      <c r="A938" s="85" t="s">
        <v>89</v>
      </c>
      <c r="B938" s="402" t="s">
        <v>1883</v>
      </c>
      <c r="C938" s="85" t="s">
        <v>90</v>
      </c>
      <c r="D938" s="148" t="s">
        <v>7</v>
      </c>
      <c r="E938" s="87">
        <v>2018</v>
      </c>
      <c r="F938" s="88">
        <v>1</v>
      </c>
      <c r="G938" s="120" t="s">
        <v>124</v>
      </c>
      <c r="H938" s="581" t="s">
        <v>2022</v>
      </c>
      <c r="I938" s="601">
        <v>4500</v>
      </c>
      <c r="J938" s="595" t="s">
        <v>9</v>
      </c>
      <c r="K938" s="91">
        <v>1</v>
      </c>
      <c r="L938" s="91">
        <v>3</v>
      </c>
      <c r="M938" s="92">
        <v>47</v>
      </c>
      <c r="N938" s="119" t="str">
        <f>VLOOKUP(M938,'PF Uscite Sp. Corr.'!$C$1:$E$100,2,FALSE)</f>
        <v>Utilizzo di beni di terzi</v>
      </c>
      <c r="O938" s="131">
        <v>5911</v>
      </c>
      <c r="P938" s="614" t="str">
        <f>VLOOKUP(O938,'Centri di Costo'!$A$2:$B$179,2,FALSE)</f>
        <v>Att. Ord. Patrimonio - Agripolis e imposte sul patrimonio</v>
      </c>
      <c r="Q938" s="623" t="s">
        <v>2014</v>
      </c>
      <c r="R938" s="642" t="s">
        <v>127</v>
      </c>
    </row>
    <row r="939" spans="1:18" ht="28.5" customHeight="1" outlineLevel="2">
      <c r="A939" s="85" t="s">
        <v>89</v>
      </c>
      <c r="B939" s="402" t="s">
        <v>1883</v>
      </c>
      <c r="C939" s="85" t="s">
        <v>90</v>
      </c>
      <c r="D939" s="148" t="s">
        <v>7</v>
      </c>
      <c r="E939" s="87">
        <v>2018</v>
      </c>
      <c r="F939" s="88">
        <v>7</v>
      </c>
      <c r="G939" s="120" t="s">
        <v>91</v>
      </c>
      <c r="H939" s="581" t="s">
        <v>92</v>
      </c>
      <c r="I939" s="601">
        <v>5000</v>
      </c>
      <c r="J939" s="595" t="s">
        <v>9</v>
      </c>
      <c r="K939" s="91">
        <v>1</v>
      </c>
      <c r="L939" s="91">
        <v>3</v>
      </c>
      <c r="M939" s="92">
        <v>49</v>
      </c>
      <c r="N939" s="119" t="str">
        <f>VLOOKUP(M939,'PF Uscite Sp. Corr.'!$C$1:$E$100,2,FALSE)</f>
        <v>Manutenzione ordinaria e riparazioni</v>
      </c>
      <c r="O939" s="131">
        <v>5911</v>
      </c>
      <c r="P939" s="614" t="str">
        <f>VLOOKUP(O939,'Centri di Costo'!$A$2:$B$179,2,FALSE)</f>
        <v>Att. Ord. Patrimonio - Agripolis e imposte sul patrimonio</v>
      </c>
      <c r="Q939" s="623" t="s">
        <v>2014</v>
      </c>
      <c r="R939" s="642" t="s">
        <v>93</v>
      </c>
    </row>
    <row r="940" spans="1:18" ht="28.5" customHeight="1" outlineLevel="2">
      <c r="A940" s="85" t="s">
        <v>89</v>
      </c>
      <c r="B940" s="402" t="s">
        <v>1883</v>
      </c>
      <c r="C940" s="85" t="s">
        <v>90</v>
      </c>
      <c r="D940" s="148" t="s">
        <v>7</v>
      </c>
      <c r="E940" s="87">
        <v>2018</v>
      </c>
      <c r="F940" s="88">
        <v>7</v>
      </c>
      <c r="G940" s="120" t="s">
        <v>91</v>
      </c>
      <c r="H940" s="581" t="s">
        <v>94</v>
      </c>
      <c r="I940" s="601">
        <v>2500</v>
      </c>
      <c r="J940" s="595" t="s">
        <v>9</v>
      </c>
      <c r="K940" s="91">
        <v>1</v>
      </c>
      <c r="L940" s="91">
        <v>3</v>
      </c>
      <c r="M940" s="92">
        <v>49</v>
      </c>
      <c r="N940" s="119" t="str">
        <f>VLOOKUP(M940,'PF Uscite Sp. Corr.'!$C$1:$E$100,2,FALSE)</f>
        <v>Manutenzione ordinaria e riparazioni</v>
      </c>
      <c r="O940" s="131">
        <v>5911</v>
      </c>
      <c r="P940" s="614" t="str">
        <f>VLOOKUP(O940,'Centri di Costo'!$A$2:$B$179,2,FALSE)</f>
        <v>Att. Ord. Patrimonio - Agripolis e imposte sul patrimonio</v>
      </c>
      <c r="Q940" s="623" t="s">
        <v>2014</v>
      </c>
      <c r="R940" s="642" t="s">
        <v>93</v>
      </c>
    </row>
    <row r="941" spans="1:18" ht="28.5" customHeight="1" outlineLevel="2">
      <c r="A941" s="85" t="s">
        <v>89</v>
      </c>
      <c r="B941" s="402" t="s">
        <v>1883</v>
      </c>
      <c r="C941" s="85" t="s">
        <v>90</v>
      </c>
      <c r="D941" s="148" t="s">
        <v>7</v>
      </c>
      <c r="E941" s="87">
        <v>2018</v>
      </c>
      <c r="F941" s="88">
        <v>7</v>
      </c>
      <c r="G941" s="120" t="s">
        <v>91</v>
      </c>
      <c r="H941" s="581" t="s">
        <v>95</v>
      </c>
      <c r="I941" s="601">
        <v>3500</v>
      </c>
      <c r="J941" s="595" t="s">
        <v>9</v>
      </c>
      <c r="K941" s="91">
        <v>1</v>
      </c>
      <c r="L941" s="91">
        <v>3</v>
      </c>
      <c r="M941" s="92">
        <v>49</v>
      </c>
      <c r="N941" s="119" t="str">
        <f>VLOOKUP(M941,'PF Uscite Sp. Corr.'!$C$1:$E$100,2,FALSE)</f>
        <v>Manutenzione ordinaria e riparazioni</v>
      </c>
      <c r="O941" s="131">
        <v>5911</v>
      </c>
      <c r="P941" s="614" t="str">
        <f>VLOOKUP(O941,'Centri di Costo'!$A$2:$B$179,2,FALSE)</f>
        <v>Att. Ord. Patrimonio - Agripolis e imposte sul patrimonio</v>
      </c>
      <c r="Q941" s="623" t="s">
        <v>2014</v>
      </c>
      <c r="R941" s="642" t="s">
        <v>93</v>
      </c>
    </row>
    <row r="942" spans="1:18" ht="28.5" customHeight="1" outlineLevel="2">
      <c r="A942" s="85" t="s">
        <v>89</v>
      </c>
      <c r="B942" s="402" t="s">
        <v>1883</v>
      </c>
      <c r="C942" s="85" t="s">
        <v>90</v>
      </c>
      <c r="D942" s="148" t="s">
        <v>7</v>
      </c>
      <c r="E942" s="87">
        <v>2018</v>
      </c>
      <c r="F942" s="88">
        <v>7</v>
      </c>
      <c r="G942" s="120" t="s">
        <v>91</v>
      </c>
      <c r="H942" s="581" t="s">
        <v>96</v>
      </c>
      <c r="I942" s="601">
        <v>1500</v>
      </c>
      <c r="J942" s="595" t="s">
        <v>9</v>
      </c>
      <c r="K942" s="91">
        <v>1</v>
      </c>
      <c r="L942" s="91">
        <v>3</v>
      </c>
      <c r="M942" s="92">
        <v>49</v>
      </c>
      <c r="N942" s="119" t="str">
        <f>VLOOKUP(M942,'PF Uscite Sp. Corr.'!$C$1:$E$100,2,FALSE)</f>
        <v>Manutenzione ordinaria e riparazioni</v>
      </c>
      <c r="O942" s="131">
        <v>5911</v>
      </c>
      <c r="P942" s="614" t="str">
        <f>VLOOKUP(O942,'Centri di Costo'!$A$2:$B$179,2,FALSE)</f>
        <v>Att. Ord. Patrimonio - Agripolis e imposte sul patrimonio</v>
      </c>
      <c r="Q942" s="623" t="s">
        <v>2014</v>
      </c>
      <c r="R942" s="642" t="s">
        <v>97</v>
      </c>
    </row>
    <row r="943" spans="1:18" ht="28.5" customHeight="1" outlineLevel="2">
      <c r="A943" s="85" t="s">
        <v>89</v>
      </c>
      <c r="B943" s="402" t="s">
        <v>1883</v>
      </c>
      <c r="C943" s="85" t="s">
        <v>90</v>
      </c>
      <c r="D943" s="148" t="s">
        <v>7</v>
      </c>
      <c r="E943" s="87">
        <v>2018</v>
      </c>
      <c r="F943" s="88">
        <v>7</v>
      </c>
      <c r="G943" s="120" t="s">
        <v>91</v>
      </c>
      <c r="H943" s="581" t="s">
        <v>98</v>
      </c>
      <c r="I943" s="601">
        <v>12500</v>
      </c>
      <c r="J943" s="595" t="s">
        <v>9</v>
      </c>
      <c r="K943" s="91">
        <v>1</v>
      </c>
      <c r="L943" s="91">
        <v>3</v>
      </c>
      <c r="M943" s="92">
        <v>49</v>
      </c>
      <c r="N943" s="119" t="str">
        <f>VLOOKUP(M943,'PF Uscite Sp. Corr.'!$C$1:$E$100,2,FALSE)</f>
        <v>Manutenzione ordinaria e riparazioni</v>
      </c>
      <c r="O943" s="131">
        <v>5911</v>
      </c>
      <c r="P943" s="614" t="str">
        <f>VLOOKUP(O943,'Centri di Costo'!$A$2:$B$179,2,FALSE)</f>
        <v>Att. Ord. Patrimonio - Agripolis e imposte sul patrimonio</v>
      </c>
      <c r="Q943" s="623" t="s">
        <v>2014</v>
      </c>
      <c r="R943" s="642" t="s">
        <v>99</v>
      </c>
    </row>
    <row r="944" spans="1:18" ht="28.5" customHeight="1" outlineLevel="2">
      <c r="A944" s="85" t="s">
        <v>89</v>
      </c>
      <c r="B944" s="402" t="s">
        <v>1883</v>
      </c>
      <c r="C944" s="85" t="s">
        <v>90</v>
      </c>
      <c r="D944" s="148" t="s">
        <v>7</v>
      </c>
      <c r="E944" s="87">
        <v>2018</v>
      </c>
      <c r="F944" s="88">
        <v>7</v>
      </c>
      <c r="G944" s="120" t="s">
        <v>91</v>
      </c>
      <c r="H944" s="581" t="s">
        <v>100</v>
      </c>
      <c r="I944" s="601">
        <v>25000</v>
      </c>
      <c r="J944" s="595" t="s">
        <v>9</v>
      </c>
      <c r="K944" s="91">
        <v>1</v>
      </c>
      <c r="L944" s="91">
        <v>3</v>
      </c>
      <c r="M944" s="92">
        <v>49</v>
      </c>
      <c r="N944" s="119" t="str">
        <f>VLOOKUP(M944,'PF Uscite Sp. Corr.'!$C$1:$E$100,2,FALSE)</f>
        <v>Manutenzione ordinaria e riparazioni</v>
      </c>
      <c r="O944" s="131">
        <v>5911</v>
      </c>
      <c r="P944" s="614" t="str">
        <f>VLOOKUP(O944,'Centri di Costo'!$A$2:$B$179,2,FALSE)</f>
        <v>Att. Ord. Patrimonio - Agripolis e imposte sul patrimonio</v>
      </c>
      <c r="Q944" s="623" t="s">
        <v>2014</v>
      </c>
      <c r="R944" s="642" t="s">
        <v>93</v>
      </c>
    </row>
    <row r="945" spans="1:18" ht="28.5" customHeight="1" outlineLevel="2">
      <c r="A945" s="85" t="s">
        <v>89</v>
      </c>
      <c r="B945" s="402" t="s">
        <v>1883</v>
      </c>
      <c r="C945" s="85" t="s">
        <v>90</v>
      </c>
      <c r="D945" s="148" t="s">
        <v>7</v>
      </c>
      <c r="E945" s="87">
        <v>2018</v>
      </c>
      <c r="F945" s="88">
        <v>10</v>
      </c>
      <c r="G945" s="120" t="s">
        <v>101</v>
      </c>
      <c r="H945" s="581" t="s">
        <v>102</v>
      </c>
      <c r="I945" s="601">
        <v>3500</v>
      </c>
      <c r="J945" s="595" t="s">
        <v>9</v>
      </c>
      <c r="K945" s="91">
        <v>1</v>
      </c>
      <c r="L945" s="91">
        <v>3</v>
      </c>
      <c r="M945" s="92">
        <v>49</v>
      </c>
      <c r="N945" s="119" t="str">
        <f>VLOOKUP(M945,'PF Uscite Sp. Corr.'!$C$1:$E$100,2,FALSE)</f>
        <v>Manutenzione ordinaria e riparazioni</v>
      </c>
      <c r="O945" s="131">
        <v>5911</v>
      </c>
      <c r="P945" s="614" t="str">
        <f>VLOOKUP(O945,'Centri di Costo'!$A$2:$B$179,2,FALSE)</f>
        <v>Att. Ord. Patrimonio - Agripolis e imposte sul patrimonio</v>
      </c>
      <c r="Q945" s="623" t="s">
        <v>2014</v>
      </c>
      <c r="R945" s="642" t="s">
        <v>103</v>
      </c>
    </row>
    <row r="946" spans="1:18" ht="28.5" customHeight="1" outlineLevel="2">
      <c r="A946" s="85" t="s">
        <v>89</v>
      </c>
      <c r="B946" s="402" t="s">
        <v>1883</v>
      </c>
      <c r="C946" s="85" t="s">
        <v>90</v>
      </c>
      <c r="D946" s="148" t="s">
        <v>7</v>
      </c>
      <c r="E946" s="87">
        <v>2018</v>
      </c>
      <c r="F946" s="88">
        <v>10</v>
      </c>
      <c r="G946" s="120" t="s">
        <v>101</v>
      </c>
      <c r="H946" s="581" t="s">
        <v>108</v>
      </c>
      <c r="I946" s="601">
        <v>2000</v>
      </c>
      <c r="J946" s="595" t="s">
        <v>9</v>
      </c>
      <c r="K946" s="91">
        <v>1</v>
      </c>
      <c r="L946" s="91">
        <v>3</v>
      </c>
      <c r="M946" s="92">
        <v>49</v>
      </c>
      <c r="N946" s="119" t="str">
        <f>VLOOKUP(M946,'PF Uscite Sp. Corr.'!$C$1:$E$100,2,FALSE)</f>
        <v>Manutenzione ordinaria e riparazioni</v>
      </c>
      <c r="O946" s="131">
        <v>5911</v>
      </c>
      <c r="P946" s="614" t="str">
        <f>VLOOKUP(O946,'Centri di Costo'!$A$2:$B$179,2,FALSE)</f>
        <v>Att. Ord. Patrimonio - Agripolis e imposte sul patrimonio</v>
      </c>
      <c r="Q946" s="623" t="s">
        <v>2014</v>
      </c>
      <c r="R946" s="642" t="s">
        <v>109</v>
      </c>
    </row>
    <row r="947" spans="1:18" ht="28.5" customHeight="1" outlineLevel="2">
      <c r="A947" s="85" t="s">
        <v>89</v>
      </c>
      <c r="B947" s="402" t="s">
        <v>1883</v>
      </c>
      <c r="C947" s="85" t="s">
        <v>90</v>
      </c>
      <c r="D947" s="148" t="s">
        <v>7</v>
      </c>
      <c r="E947" s="87">
        <v>2018</v>
      </c>
      <c r="F947" s="88">
        <v>10</v>
      </c>
      <c r="G947" s="120" t="s">
        <v>101</v>
      </c>
      <c r="H947" s="581" t="s">
        <v>102</v>
      </c>
      <c r="I947" s="601">
        <v>900</v>
      </c>
      <c r="J947" s="595" t="s">
        <v>9</v>
      </c>
      <c r="K947" s="91">
        <v>1</v>
      </c>
      <c r="L947" s="91">
        <v>3</v>
      </c>
      <c r="M947" s="92">
        <v>49</v>
      </c>
      <c r="N947" s="119" t="str">
        <f>VLOOKUP(M947,'PF Uscite Sp. Corr.'!$C$1:$E$100,2,FALSE)</f>
        <v>Manutenzione ordinaria e riparazioni</v>
      </c>
      <c r="O947" s="131">
        <v>5911</v>
      </c>
      <c r="P947" s="614" t="str">
        <f>VLOOKUP(O947,'Centri di Costo'!$A$2:$B$179,2,FALSE)</f>
        <v>Att. Ord. Patrimonio - Agripolis e imposte sul patrimonio</v>
      </c>
      <c r="Q947" s="623" t="s">
        <v>2014</v>
      </c>
      <c r="R947" s="642" t="s">
        <v>111</v>
      </c>
    </row>
    <row r="948" spans="1:18" ht="28.5" customHeight="1" outlineLevel="2">
      <c r="A948" s="85" t="s">
        <v>89</v>
      </c>
      <c r="B948" s="402" t="s">
        <v>1883</v>
      </c>
      <c r="C948" s="85" t="s">
        <v>90</v>
      </c>
      <c r="D948" s="148" t="s">
        <v>7</v>
      </c>
      <c r="E948" s="87">
        <v>2018</v>
      </c>
      <c r="F948" s="88">
        <v>10</v>
      </c>
      <c r="G948" s="120" t="s">
        <v>101</v>
      </c>
      <c r="H948" s="581" t="s">
        <v>112</v>
      </c>
      <c r="I948" s="601">
        <v>500</v>
      </c>
      <c r="J948" s="595" t="s">
        <v>9</v>
      </c>
      <c r="K948" s="91">
        <v>1</v>
      </c>
      <c r="L948" s="91">
        <v>3</v>
      </c>
      <c r="M948" s="92">
        <v>49</v>
      </c>
      <c r="N948" s="119" t="str">
        <f>VLOOKUP(M948,'PF Uscite Sp. Corr.'!$C$1:$E$100,2,FALSE)</f>
        <v>Manutenzione ordinaria e riparazioni</v>
      </c>
      <c r="O948" s="131">
        <v>5911</v>
      </c>
      <c r="P948" s="614" t="str">
        <f>VLOOKUP(O948,'Centri di Costo'!$A$2:$B$179,2,FALSE)</f>
        <v>Att. Ord. Patrimonio - Agripolis e imposte sul patrimonio</v>
      </c>
      <c r="Q948" s="623" t="s">
        <v>2014</v>
      </c>
      <c r="R948" s="642" t="s">
        <v>103</v>
      </c>
    </row>
    <row r="949" spans="1:18" ht="28.5" customHeight="1" outlineLevel="2">
      <c r="A949" s="85" t="s">
        <v>89</v>
      </c>
      <c r="B949" s="402" t="s">
        <v>1883</v>
      </c>
      <c r="C949" s="85" t="s">
        <v>90</v>
      </c>
      <c r="D949" s="148" t="s">
        <v>7</v>
      </c>
      <c r="E949" s="87">
        <v>2018</v>
      </c>
      <c r="F949" s="88">
        <v>11</v>
      </c>
      <c r="G949" s="120" t="s">
        <v>114</v>
      </c>
      <c r="H949" s="581" t="s">
        <v>118</v>
      </c>
      <c r="I949" s="601">
        <v>4000</v>
      </c>
      <c r="J949" s="595" t="s">
        <v>9</v>
      </c>
      <c r="K949" s="91">
        <v>1</v>
      </c>
      <c r="L949" s="91">
        <v>3</v>
      </c>
      <c r="M949" s="92">
        <v>51</v>
      </c>
      <c r="N949" s="119" t="str">
        <f>VLOOKUP(M949,'PF Uscite Sp. Corr.'!$C$1:$E$100,2,FALSE)</f>
        <v>Prestazioni professionali e specialistiche</v>
      </c>
      <c r="O949" s="131">
        <v>5911</v>
      </c>
      <c r="P949" s="614" t="str">
        <f>VLOOKUP(O949,'Centri di Costo'!$A$2:$B$179,2,FALSE)</f>
        <v>Att. Ord. Patrimonio - Agripolis e imposte sul patrimonio</v>
      </c>
      <c r="Q949" s="623" t="s">
        <v>2014</v>
      </c>
      <c r="R949" s="642" t="s">
        <v>119</v>
      </c>
    </row>
    <row r="950" spans="1:18" ht="28.5" customHeight="1" outlineLevel="2">
      <c r="A950" s="85" t="s">
        <v>89</v>
      </c>
      <c r="B950" s="402" t="s">
        <v>1883</v>
      </c>
      <c r="C950" s="85" t="s">
        <v>90</v>
      </c>
      <c r="D950" s="148" t="s">
        <v>7</v>
      </c>
      <c r="E950" s="87">
        <v>2018</v>
      </c>
      <c r="F950" s="88">
        <v>11</v>
      </c>
      <c r="G950" s="120" t="s">
        <v>114</v>
      </c>
      <c r="H950" s="581" t="s">
        <v>120</v>
      </c>
      <c r="I950" s="601">
        <v>5000</v>
      </c>
      <c r="J950" s="595" t="s">
        <v>9</v>
      </c>
      <c r="K950" s="91">
        <v>1</v>
      </c>
      <c r="L950" s="91">
        <v>3</v>
      </c>
      <c r="M950" s="92">
        <v>51</v>
      </c>
      <c r="N950" s="119" t="str">
        <f>VLOOKUP(M950,'PF Uscite Sp. Corr.'!$C$1:$E$100,2,FALSE)</f>
        <v>Prestazioni professionali e specialistiche</v>
      </c>
      <c r="O950" s="131">
        <v>5911</v>
      </c>
      <c r="P950" s="614" t="str">
        <f>VLOOKUP(O950,'Centri di Costo'!$A$2:$B$179,2,FALSE)</f>
        <v>Att. Ord. Patrimonio - Agripolis e imposte sul patrimonio</v>
      </c>
      <c r="Q950" s="623" t="s">
        <v>2014</v>
      </c>
      <c r="R950" s="642" t="s">
        <v>119</v>
      </c>
    </row>
    <row r="951" spans="1:18" ht="28.5" customHeight="1" outlineLevel="2">
      <c r="A951" s="85" t="s">
        <v>89</v>
      </c>
      <c r="B951" s="402" t="s">
        <v>1883</v>
      </c>
      <c r="C951" s="85" t="s">
        <v>90</v>
      </c>
      <c r="D951" s="148" t="s">
        <v>7</v>
      </c>
      <c r="E951" s="87">
        <v>2018</v>
      </c>
      <c r="F951" s="88">
        <v>11</v>
      </c>
      <c r="G951" s="120" t="s">
        <v>114</v>
      </c>
      <c r="H951" s="581" t="s">
        <v>121</v>
      </c>
      <c r="I951" s="601">
        <v>3000</v>
      </c>
      <c r="J951" s="595" t="s">
        <v>9</v>
      </c>
      <c r="K951" s="91">
        <v>1</v>
      </c>
      <c r="L951" s="91">
        <v>3</v>
      </c>
      <c r="M951" s="92">
        <v>51</v>
      </c>
      <c r="N951" s="119" t="str">
        <f>VLOOKUP(M951,'PF Uscite Sp. Corr.'!$C$1:$E$100,2,FALSE)</f>
        <v>Prestazioni professionali e specialistiche</v>
      </c>
      <c r="O951" s="131">
        <v>5911</v>
      </c>
      <c r="P951" s="614" t="str">
        <f>VLOOKUP(O951,'Centri di Costo'!$A$2:$B$179,2,FALSE)</f>
        <v>Att. Ord. Patrimonio - Agripolis e imposte sul patrimonio</v>
      </c>
      <c r="Q951" s="623" t="s">
        <v>2014</v>
      </c>
      <c r="R951" s="642" t="s">
        <v>119</v>
      </c>
    </row>
    <row r="952" spans="1:18" ht="28.5" customHeight="1" outlineLevel="2">
      <c r="A952" s="85" t="s">
        <v>89</v>
      </c>
      <c r="B952" s="402" t="s">
        <v>1883</v>
      </c>
      <c r="C952" s="85" t="s">
        <v>90</v>
      </c>
      <c r="D952" s="148" t="s">
        <v>7</v>
      </c>
      <c r="E952" s="87">
        <v>2018</v>
      </c>
      <c r="F952" s="88">
        <v>11</v>
      </c>
      <c r="G952" s="120" t="s">
        <v>114</v>
      </c>
      <c r="H952" s="581" t="s">
        <v>115</v>
      </c>
      <c r="I952" s="601">
        <v>2000</v>
      </c>
      <c r="J952" s="595" t="s">
        <v>9</v>
      </c>
      <c r="K952" s="91">
        <v>1</v>
      </c>
      <c r="L952" s="91">
        <v>3</v>
      </c>
      <c r="M952" s="92">
        <v>56</v>
      </c>
      <c r="N952" s="119" t="str">
        <f>VLOOKUP(M952,'PF Uscite Sp. Corr.'!$C$1:$E$100,2,FALSE)</f>
        <v>Servizi amministrativi</v>
      </c>
      <c r="O952" s="131">
        <v>5911</v>
      </c>
      <c r="P952" s="614" t="str">
        <f>VLOOKUP(O952,'Centri di Costo'!$A$2:$B$179,2,FALSE)</f>
        <v>Att. Ord. Patrimonio - Agripolis e imposte sul patrimonio</v>
      </c>
      <c r="Q952" s="623" t="s">
        <v>2014</v>
      </c>
      <c r="R952" s="642" t="s">
        <v>116</v>
      </c>
    </row>
    <row r="953" spans="1:18" s="139" customFormat="1" ht="28.5" customHeight="1" outlineLevel="2">
      <c r="A953" s="115" t="s">
        <v>89</v>
      </c>
      <c r="B953" s="404" t="s">
        <v>1883</v>
      </c>
      <c r="C953" s="115" t="s">
        <v>90</v>
      </c>
      <c r="D953" s="417" t="s">
        <v>7</v>
      </c>
      <c r="E953" s="412">
        <v>2018</v>
      </c>
      <c r="F953" s="413">
        <v>11</v>
      </c>
      <c r="G953" s="123" t="s">
        <v>114</v>
      </c>
      <c r="H953" s="583" t="s">
        <v>117</v>
      </c>
      <c r="I953" s="603">
        <v>500</v>
      </c>
      <c r="J953" s="596" t="s">
        <v>9</v>
      </c>
      <c r="K953" s="216">
        <v>1</v>
      </c>
      <c r="L953" s="216">
        <v>3</v>
      </c>
      <c r="M953" s="418">
        <v>56</v>
      </c>
      <c r="N953" s="118" t="str">
        <f>VLOOKUP(M953,'PF Uscite Sp. Corr.'!$C$1:$E$100,2,FALSE)</f>
        <v>Servizi amministrativi</v>
      </c>
      <c r="O953" s="419">
        <v>5911</v>
      </c>
      <c r="P953" s="615" t="str">
        <f>VLOOKUP(O953,'Centri di Costo'!$A$2:$B$179,2,FALSE)</f>
        <v>Att. Ord. Patrimonio - Agripolis e imposte sul patrimonio</v>
      </c>
      <c r="Q953" s="623" t="s">
        <v>2014</v>
      </c>
      <c r="R953" s="648" t="s">
        <v>79</v>
      </c>
    </row>
    <row r="954" spans="1:18" s="215" customFormat="1" ht="20.25" customHeight="1" outlineLevel="1" collapsed="1">
      <c r="A954" s="160"/>
      <c r="B954" s="433" t="s">
        <v>1927</v>
      </c>
      <c r="C954" s="161"/>
      <c r="D954" s="437"/>
      <c r="E954" s="438"/>
      <c r="F954" s="438"/>
      <c r="G954" s="441" t="s">
        <v>1938</v>
      </c>
      <c r="H954" s="214" t="s">
        <v>1970</v>
      </c>
      <c r="I954" s="605">
        <f>SUBTOTAL(9,I928:I953)</f>
        <v>308400</v>
      </c>
      <c r="J954" s="212"/>
      <c r="K954" s="179"/>
      <c r="L954" s="179"/>
      <c r="M954" s="213"/>
      <c r="N954" s="434"/>
      <c r="O954" s="439"/>
      <c r="P954" s="435"/>
      <c r="Q954" s="620"/>
      <c r="R954" s="645"/>
    </row>
    <row r="955" spans="1:18" ht="28.5" customHeight="1" outlineLevel="2">
      <c r="A955" s="94" t="s">
        <v>89</v>
      </c>
      <c r="B955" s="402" t="s">
        <v>1887</v>
      </c>
      <c r="C955" s="94" t="s">
        <v>90</v>
      </c>
      <c r="D955" s="149" t="s">
        <v>7</v>
      </c>
      <c r="E955" s="101">
        <v>2018</v>
      </c>
      <c r="F955" s="102">
        <v>42</v>
      </c>
      <c r="G955" s="121" t="s">
        <v>137</v>
      </c>
      <c r="H955" s="580" t="s">
        <v>138</v>
      </c>
      <c r="I955" s="600">
        <v>7400</v>
      </c>
      <c r="J955" s="594" t="s">
        <v>9</v>
      </c>
      <c r="K955" s="99">
        <v>1</v>
      </c>
      <c r="L955" s="99">
        <v>2</v>
      </c>
      <c r="M955" s="113">
        <v>20</v>
      </c>
      <c r="N955" s="128" t="str">
        <f>VLOOKUP(M955,'PF Uscite Sp. Corr.'!$C$1:$E$100,2,FALSE)</f>
        <v>Imposte sul reddito delle persone giuridiche (ex IRPEG)</v>
      </c>
      <c r="O955" s="132">
        <v>5917</v>
      </c>
      <c r="P955" s="613" t="str">
        <f>VLOOKUP(O955,'Centri di Costo'!$A$2:$B$179,2,FALSE)</f>
        <v>Riforma Fondiaria</v>
      </c>
      <c r="Q955" s="631" t="s">
        <v>1844</v>
      </c>
      <c r="R955" s="639" t="s">
        <v>39</v>
      </c>
    </row>
    <row r="956" spans="1:18" ht="28.5" customHeight="1" outlineLevel="2">
      <c r="A956" s="115" t="s">
        <v>89</v>
      </c>
      <c r="B956" s="402" t="s">
        <v>1887</v>
      </c>
      <c r="C956" s="115" t="s">
        <v>90</v>
      </c>
      <c r="D956" s="417" t="s">
        <v>7</v>
      </c>
      <c r="E956" s="412">
        <v>2018</v>
      </c>
      <c r="F956" s="88">
        <v>42</v>
      </c>
      <c r="G956" s="398" t="s">
        <v>137</v>
      </c>
      <c r="H956" s="583" t="s">
        <v>139</v>
      </c>
      <c r="I956" s="603">
        <v>12000</v>
      </c>
      <c r="J956" s="596" t="s">
        <v>9</v>
      </c>
      <c r="K956" s="216">
        <v>1</v>
      </c>
      <c r="L956" s="216">
        <v>2</v>
      </c>
      <c r="M956" s="418">
        <v>22</v>
      </c>
      <c r="N956" s="118" t="str">
        <f>VLOOKUP(M956,'PF Uscite Sp. Corr.'!$C$1:$E$100,2,FALSE)</f>
        <v>Imposta Municipale Propria</v>
      </c>
      <c r="O956" s="419">
        <v>5917</v>
      </c>
      <c r="P956" s="615" t="str">
        <f>VLOOKUP(O956,'Centri di Costo'!$A$2:$B$179,2,FALSE)</f>
        <v>Riforma Fondiaria</v>
      </c>
      <c r="Q956" s="631" t="s">
        <v>1844</v>
      </c>
      <c r="R956" s="648" t="s">
        <v>126</v>
      </c>
    </row>
    <row r="957" spans="1:18" s="139" customFormat="1" ht="28.5" customHeight="1" outlineLevel="2">
      <c r="A957" s="397" t="s">
        <v>89</v>
      </c>
      <c r="B957" s="402" t="s">
        <v>1887</v>
      </c>
      <c r="C957" s="397" t="s">
        <v>90</v>
      </c>
      <c r="D957" s="511" t="s">
        <v>7</v>
      </c>
      <c r="E957" s="141">
        <v>2018</v>
      </c>
      <c r="F957" s="88">
        <v>42</v>
      </c>
      <c r="G957" s="124" t="s">
        <v>137</v>
      </c>
      <c r="H957" s="124" t="s">
        <v>1521</v>
      </c>
      <c r="I957" s="604">
        <v>6000</v>
      </c>
      <c r="J957" s="135" t="s">
        <v>9</v>
      </c>
      <c r="K957" s="136">
        <v>1</v>
      </c>
      <c r="L957" s="136">
        <v>2</v>
      </c>
      <c r="M957" s="203">
        <v>29</v>
      </c>
      <c r="N957" s="129" t="str">
        <f>VLOOKUP(M957,'PF Uscite Sp. Corr.'!$C$1:$E$100,2,FALSE)</f>
        <v>Imposte, tasse e proventi assimilati a carico dell'ente n.a.c.</v>
      </c>
      <c r="O957" s="395">
        <v>5917</v>
      </c>
      <c r="P957" s="170" t="str">
        <f>VLOOKUP(O957,'Centri di Costo'!$A$2:$B$179,2,FALSE)</f>
        <v>Riforma Fondiaria</v>
      </c>
      <c r="Q957" s="631" t="s">
        <v>1844</v>
      </c>
      <c r="R957" s="644" t="s">
        <v>129</v>
      </c>
    </row>
    <row r="958" spans="1:18" s="139" customFormat="1" ht="43.5" customHeight="1" outlineLevel="2">
      <c r="A958" s="396" t="s">
        <v>89</v>
      </c>
      <c r="B958" s="404" t="s">
        <v>1887</v>
      </c>
      <c r="C958" s="396" t="s">
        <v>90</v>
      </c>
      <c r="D958" s="421" t="s">
        <v>7</v>
      </c>
      <c r="E958" s="422">
        <v>2018</v>
      </c>
      <c r="F958" s="413">
        <v>42</v>
      </c>
      <c r="G958" s="414" t="s">
        <v>137</v>
      </c>
      <c r="H958" s="584" t="s">
        <v>140</v>
      </c>
      <c r="I958" s="604">
        <v>75600</v>
      </c>
      <c r="J958" s="597" t="s">
        <v>9</v>
      </c>
      <c r="K958" s="248">
        <v>1</v>
      </c>
      <c r="L958" s="248">
        <v>9</v>
      </c>
      <c r="M958" s="530">
        <v>78</v>
      </c>
      <c r="N958" s="415" t="str">
        <f>VLOOKUP(M958,'PF Uscite Sp. Corr.'!$C$1:$E$100,2,FALSE)</f>
        <v>Rimborsi di parte corrente ad Amministrazioni Locali di somme non dovute o incassate in eccesso</v>
      </c>
      <c r="O958" s="424">
        <v>5917</v>
      </c>
      <c r="P958" s="616" t="str">
        <f>VLOOKUP(O958,'Centri di Costo'!$A$2:$B$179,2,FALSE)</f>
        <v>Riforma Fondiaria</v>
      </c>
      <c r="Q958" s="631" t="s">
        <v>1844</v>
      </c>
      <c r="R958" s="658" t="s">
        <v>141</v>
      </c>
    </row>
    <row r="959" spans="1:18" s="215" customFormat="1" ht="20.25" customHeight="1" outlineLevel="1" collapsed="1">
      <c r="A959" s="160"/>
      <c r="B959" s="433" t="s">
        <v>1928</v>
      </c>
      <c r="C959" s="161"/>
      <c r="D959" s="437"/>
      <c r="E959" s="438"/>
      <c r="F959" s="438"/>
      <c r="G959" s="441" t="s">
        <v>1938</v>
      </c>
      <c r="H959" s="214" t="s">
        <v>1971</v>
      </c>
      <c r="I959" s="605">
        <f>SUBTOTAL(9,I955:I958)</f>
        <v>101000</v>
      </c>
      <c r="J959" s="212"/>
      <c r="K959" s="179"/>
      <c r="L959" s="179"/>
      <c r="M959" s="531"/>
      <c r="N959" s="434"/>
      <c r="O959" s="439"/>
      <c r="P959" s="435"/>
      <c r="Q959" s="620"/>
      <c r="R959" s="659"/>
    </row>
    <row r="960" spans="1:18" s="139" customFormat="1" ht="45" customHeight="1" outlineLevel="2">
      <c r="A960" s="396" t="s">
        <v>89</v>
      </c>
      <c r="B960" s="404" t="s">
        <v>1888</v>
      </c>
      <c r="C960" s="396" t="s">
        <v>90</v>
      </c>
      <c r="D960" s="426" t="s">
        <v>7</v>
      </c>
      <c r="E960" s="422">
        <v>2018</v>
      </c>
      <c r="F960" s="423">
        <v>28</v>
      </c>
      <c r="G960" s="208" t="s">
        <v>134</v>
      </c>
      <c r="H960" s="593" t="s">
        <v>1589</v>
      </c>
      <c r="I960" s="604">
        <v>26000</v>
      </c>
      <c r="J960" s="597" t="s">
        <v>1588</v>
      </c>
      <c r="K960" s="248">
        <v>4</v>
      </c>
      <c r="L960" s="248">
        <v>3</v>
      </c>
      <c r="M960" s="248">
        <v>20</v>
      </c>
      <c r="N960" s="415" t="s">
        <v>2033</v>
      </c>
      <c r="O960" s="424">
        <v>5917</v>
      </c>
      <c r="P960" s="616" t="str">
        <f>VLOOKUP(O960,'Centri di Costo'!$A$2:$B$179,2,FALSE)</f>
        <v>Riforma Fondiaria</v>
      </c>
      <c r="Q960" s="631" t="s">
        <v>1844</v>
      </c>
      <c r="R960" s="646" t="s">
        <v>25</v>
      </c>
    </row>
    <row r="961" spans="1:18" s="215" customFormat="1" ht="20.25" customHeight="1" outlineLevel="1" collapsed="1">
      <c r="A961" s="160"/>
      <c r="B961" s="433" t="s">
        <v>1929</v>
      </c>
      <c r="C961" s="161"/>
      <c r="D961" s="235"/>
      <c r="E961" s="438"/>
      <c r="F961" s="438"/>
      <c r="G961" s="441" t="s">
        <v>1938</v>
      </c>
      <c r="H961" s="214" t="s">
        <v>1972</v>
      </c>
      <c r="I961" s="605">
        <f>SUBTOTAL(9,I960:I960)</f>
        <v>26000</v>
      </c>
      <c r="J961" s="212"/>
      <c r="K961" s="179"/>
      <c r="L961" s="179"/>
      <c r="M961" s="179"/>
      <c r="N961" s="440"/>
      <c r="O961" s="439"/>
      <c r="P961" s="435"/>
      <c r="Q961" s="626"/>
      <c r="R961" s="645"/>
    </row>
    <row r="962" spans="1:18" ht="39" customHeight="1" outlineLevel="2">
      <c r="A962" s="94" t="s">
        <v>89</v>
      </c>
      <c r="B962" s="402" t="s">
        <v>1889</v>
      </c>
      <c r="C962" s="94" t="s">
        <v>90</v>
      </c>
      <c r="D962" s="100" t="s">
        <v>7</v>
      </c>
      <c r="E962" s="101">
        <v>2018</v>
      </c>
      <c r="F962" s="102">
        <v>28</v>
      </c>
      <c r="G962" s="121" t="s">
        <v>134</v>
      </c>
      <c r="H962" s="590" t="s">
        <v>136</v>
      </c>
      <c r="I962" s="600">
        <v>2000</v>
      </c>
      <c r="J962" s="594" t="s">
        <v>1587</v>
      </c>
      <c r="K962" s="99">
        <v>1</v>
      </c>
      <c r="L962" s="99">
        <v>7</v>
      </c>
      <c r="M962" s="99">
        <v>70</v>
      </c>
      <c r="N962" s="128" t="str">
        <f>VLOOKUP(M962,'PF Uscite Sp. Corr.'!$C$1:$E$100,2,FALSE)</f>
        <v xml:space="preserve">Interessi passivi a Amministrazioni Locali su mutui e altri finanziamenti a medio lungo termine </v>
      </c>
      <c r="O962" s="132">
        <v>5912</v>
      </c>
      <c r="P962" s="613" t="str">
        <f>VLOOKUP(O962,'Centri di Costo'!$A$2:$B$179,2,FALSE)</f>
        <v>Att. Ord. Patrimonio - Villa Rieti Rota</v>
      </c>
      <c r="Q962" s="631" t="s">
        <v>1844</v>
      </c>
      <c r="R962" s="639" t="s">
        <v>13</v>
      </c>
    </row>
    <row r="963" spans="1:18" s="139" customFormat="1" ht="33.75" customHeight="1" outlineLevel="2">
      <c r="A963" s="115" t="s">
        <v>89</v>
      </c>
      <c r="B963" s="401" t="s">
        <v>1889</v>
      </c>
      <c r="C963" s="115" t="s">
        <v>90</v>
      </c>
      <c r="D963" s="411" t="s">
        <v>7</v>
      </c>
      <c r="E963" s="412">
        <v>2018</v>
      </c>
      <c r="F963" s="413">
        <v>28</v>
      </c>
      <c r="G963" s="123" t="s">
        <v>134</v>
      </c>
      <c r="H963" s="591" t="s">
        <v>135</v>
      </c>
      <c r="I963" s="603">
        <v>36900</v>
      </c>
      <c r="J963" s="597" t="s">
        <v>1588</v>
      </c>
      <c r="K963" s="248">
        <v>4</v>
      </c>
      <c r="L963" s="216">
        <v>3</v>
      </c>
      <c r="M963" s="216">
        <v>23</v>
      </c>
      <c r="N963" s="119" t="s">
        <v>2032</v>
      </c>
      <c r="O963" s="419">
        <v>5912</v>
      </c>
      <c r="P963" s="615" t="str">
        <f>VLOOKUP(O963,'Centri di Costo'!$A$2:$B$179,2,FALSE)</f>
        <v>Att. Ord. Patrimonio - Villa Rieti Rota</v>
      </c>
      <c r="Q963" s="631" t="s">
        <v>1844</v>
      </c>
      <c r="R963" s="648" t="s">
        <v>25</v>
      </c>
    </row>
    <row r="964" spans="1:18" s="215" customFormat="1" ht="20.25" customHeight="1" outlineLevel="1" collapsed="1">
      <c r="A964" s="160"/>
      <c r="B964" s="433" t="s">
        <v>1930</v>
      </c>
      <c r="C964" s="161"/>
      <c r="D964" s="235"/>
      <c r="E964" s="438"/>
      <c r="F964" s="438"/>
      <c r="G964" s="441" t="s">
        <v>1938</v>
      </c>
      <c r="H964" s="214" t="s">
        <v>1973</v>
      </c>
      <c r="I964" s="605">
        <f>SUBTOTAL(9,I962:I963)</f>
        <v>38900</v>
      </c>
      <c r="J964" s="212"/>
      <c r="K964" s="179"/>
      <c r="L964" s="179"/>
      <c r="M964" s="179"/>
      <c r="N964" s="440"/>
      <c r="O964" s="439"/>
      <c r="P964" s="435"/>
      <c r="Q964" s="626"/>
      <c r="R964" s="645"/>
    </row>
    <row r="965" spans="1:18" ht="28.5" customHeight="1" outlineLevel="2">
      <c r="A965" s="94" t="s">
        <v>89</v>
      </c>
      <c r="B965" s="402" t="s">
        <v>1884</v>
      </c>
      <c r="C965" s="94" t="s">
        <v>150</v>
      </c>
      <c r="D965" s="149" t="s">
        <v>7</v>
      </c>
      <c r="E965" s="101">
        <v>2018</v>
      </c>
      <c r="F965" s="102">
        <v>217</v>
      </c>
      <c r="G965" s="121" t="s">
        <v>155</v>
      </c>
      <c r="H965" s="580" t="s">
        <v>1335</v>
      </c>
      <c r="I965" s="600">
        <v>5000</v>
      </c>
      <c r="J965" s="594" t="s">
        <v>9</v>
      </c>
      <c r="K965" s="99">
        <v>1</v>
      </c>
      <c r="L965" s="99">
        <v>3</v>
      </c>
      <c r="M965" s="113">
        <v>44</v>
      </c>
      <c r="N965" s="128" t="str">
        <f>VLOOKUP(M965,'PF Uscite Sp. Corr.'!$C$1:$E$100,2,FALSE)</f>
        <v>Acquisto di servizi per formazione e addestramento del personale dell'ente</v>
      </c>
      <c r="O965" s="132">
        <v>5992</v>
      </c>
      <c r="P965" s="613" t="str">
        <f>VLOOKUP(O965,'Centri di Costo'!$A$2:$B$179,2,FALSE)</f>
        <v>Attività generale Sez. Amministrativa</v>
      </c>
      <c r="Q965" s="619" t="s">
        <v>2014</v>
      </c>
      <c r="R965" s="639" t="s">
        <v>156</v>
      </c>
    </row>
    <row r="966" spans="1:18" ht="28.5" customHeight="1" outlineLevel="2">
      <c r="A966" s="85" t="s">
        <v>89</v>
      </c>
      <c r="B966" s="402" t="s">
        <v>1884</v>
      </c>
      <c r="C966" s="85" t="s">
        <v>150</v>
      </c>
      <c r="D966" s="148" t="s">
        <v>7</v>
      </c>
      <c r="E966" s="87">
        <v>2018</v>
      </c>
      <c r="F966" s="88">
        <v>277</v>
      </c>
      <c r="G966" s="120" t="s">
        <v>228</v>
      </c>
      <c r="H966" s="581" t="s">
        <v>229</v>
      </c>
      <c r="I966" s="601">
        <v>20000</v>
      </c>
      <c r="J966" s="595" t="s">
        <v>9</v>
      </c>
      <c r="K966" s="91">
        <v>1</v>
      </c>
      <c r="L966" s="91">
        <v>3</v>
      </c>
      <c r="M966" s="92">
        <v>50</v>
      </c>
      <c r="N966" s="119" t="str">
        <f>VLOOKUP(M966,'PF Uscite Sp. Corr.'!$C$1:$E$100,2,FALSE)</f>
        <v>Consulenze</v>
      </c>
      <c r="O966" s="131">
        <v>5992</v>
      </c>
      <c r="P966" s="614" t="str">
        <f>VLOOKUP(O966,'Centri di Costo'!$A$2:$B$179,2,FALSE)</f>
        <v>Attività generale Sez. Amministrativa</v>
      </c>
      <c r="Q966" s="619" t="s">
        <v>2014</v>
      </c>
      <c r="R966" s="642" t="s">
        <v>230</v>
      </c>
    </row>
    <row r="967" spans="1:18" ht="40.5" customHeight="1" outlineLevel="2">
      <c r="A967" s="85" t="s">
        <v>89</v>
      </c>
      <c r="B967" s="402" t="s">
        <v>1884</v>
      </c>
      <c r="C967" s="85" t="s">
        <v>150</v>
      </c>
      <c r="D967" s="148" t="s">
        <v>7</v>
      </c>
      <c r="E967" s="87">
        <v>2018</v>
      </c>
      <c r="F967" s="88">
        <v>188</v>
      </c>
      <c r="G967" s="120" t="s">
        <v>153</v>
      </c>
      <c r="H967" s="581" t="s">
        <v>1334</v>
      </c>
      <c r="I967" s="601">
        <v>11324</v>
      </c>
      <c r="J967" s="595" t="s">
        <v>9</v>
      </c>
      <c r="K967" s="91">
        <v>1</v>
      </c>
      <c r="L967" s="91">
        <v>3</v>
      </c>
      <c r="M967" s="92">
        <v>51</v>
      </c>
      <c r="N967" s="119" t="str">
        <f>VLOOKUP(M967,'PF Uscite Sp. Corr.'!$C$1:$E$100,2,FALSE)</f>
        <v>Prestazioni professionali e specialistiche</v>
      </c>
      <c r="O967" s="131">
        <v>5992</v>
      </c>
      <c r="P967" s="614" t="str">
        <f>VLOOKUP(O967,'Centri di Costo'!$A$2:$B$179,2,FALSE)</f>
        <v>Attività generale Sez. Amministrativa</v>
      </c>
      <c r="Q967" s="619" t="s">
        <v>2014</v>
      </c>
      <c r="R967" s="642" t="s">
        <v>82</v>
      </c>
    </row>
    <row r="968" spans="1:18" ht="54" customHeight="1" outlineLevel="2">
      <c r="A968" s="85" t="s">
        <v>89</v>
      </c>
      <c r="B968" s="402" t="s">
        <v>1884</v>
      </c>
      <c r="C968" s="85" t="s">
        <v>150</v>
      </c>
      <c r="D968" s="148" t="s">
        <v>7</v>
      </c>
      <c r="E968" s="87">
        <v>2018</v>
      </c>
      <c r="F968" s="88">
        <v>202</v>
      </c>
      <c r="G968" s="120" t="s">
        <v>154</v>
      </c>
      <c r="H968" s="581" t="s">
        <v>1334</v>
      </c>
      <c r="I968" s="601">
        <v>12000</v>
      </c>
      <c r="J968" s="595" t="s">
        <v>9</v>
      </c>
      <c r="K968" s="91">
        <v>1</v>
      </c>
      <c r="L968" s="91">
        <v>3</v>
      </c>
      <c r="M968" s="92">
        <v>51</v>
      </c>
      <c r="N968" s="119" t="str">
        <f>VLOOKUP(M968,'PF Uscite Sp. Corr.'!$C$1:$E$100,2,FALSE)</f>
        <v>Prestazioni professionali e specialistiche</v>
      </c>
      <c r="O968" s="131">
        <v>5992</v>
      </c>
      <c r="P968" s="614" t="str">
        <f>VLOOKUP(O968,'Centri di Costo'!$A$2:$B$179,2,FALSE)</f>
        <v>Attività generale Sez. Amministrativa</v>
      </c>
      <c r="Q968" s="619" t="s">
        <v>2014</v>
      </c>
      <c r="R968" s="642" t="s">
        <v>82</v>
      </c>
    </row>
    <row r="969" spans="1:18" ht="28.5" customHeight="1" outlineLevel="2">
      <c r="A969" s="95" t="s">
        <v>89</v>
      </c>
      <c r="B969" s="402" t="s">
        <v>1884</v>
      </c>
      <c r="C969" s="95" t="s">
        <v>150</v>
      </c>
      <c r="D969" s="458" t="s">
        <v>7</v>
      </c>
      <c r="E969" s="520">
        <v>2018</v>
      </c>
      <c r="F969" s="521">
        <v>277</v>
      </c>
      <c r="G969" s="122" t="s">
        <v>228</v>
      </c>
      <c r="H969" s="586" t="s">
        <v>232</v>
      </c>
      <c r="I969" s="607">
        <f>15000-7900-2100</f>
        <v>5000</v>
      </c>
      <c r="J969" s="595" t="s">
        <v>9</v>
      </c>
      <c r="K969" s="91">
        <v>1</v>
      </c>
      <c r="L969" s="91">
        <v>3</v>
      </c>
      <c r="M969" s="91">
        <v>51</v>
      </c>
      <c r="N969" s="119" t="str">
        <f>VLOOKUP(M969,'PF Uscite Sp. Corr.'!$C$1:$E$100,2,FALSE)</f>
        <v>Prestazioni professionali e specialistiche</v>
      </c>
      <c r="O969" s="131">
        <v>5992</v>
      </c>
      <c r="P969" s="614" t="str">
        <f>VLOOKUP(O969,'Centri di Costo'!$A$2:$B$179,2,FALSE)</f>
        <v>Attività generale Sez. Amministrativa</v>
      </c>
      <c r="Q969" s="619" t="s">
        <v>2014</v>
      </c>
      <c r="R969" s="649" t="s">
        <v>230</v>
      </c>
    </row>
    <row r="970" spans="1:18" ht="28.5" customHeight="1" outlineLevel="2">
      <c r="A970" s="95" t="s">
        <v>89</v>
      </c>
      <c r="B970" s="402" t="s">
        <v>1884</v>
      </c>
      <c r="C970" s="95" t="s">
        <v>150</v>
      </c>
      <c r="D970" s="458" t="s">
        <v>7</v>
      </c>
      <c r="E970" s="520">
        <v>2018</v>
      </c>
      <c r="F970" s="521">
        <v>277</v>
      </c>
      <c r="G970" s="122" t="s">
        <v>228</v>
      </c>
      <c r="H970" s="586" t="s">
        <v>231</v>
      </c>
      <c r="I970" s="607">
        <f>7900+2100</f>
        <v>10000</v>
      </c>
      <c r="J970" s="595" t="s">
        <v>9</v>
      </c>
      <c r="K970" s="91">
        <v>1</v>
      </c>
      <c r="L970" s="91">
        <v>3</v>
      </c>
      <c r="M970" s="91">
        <v>52</v>
      </c>
      <c r="N970" s="119" t="str">
        <f>VLOOKUP(M970,'PF Uscite Sp. Corr.'!$C$1:$E$100,2,FALSE)</f>
        <v>Lavoro flessibile, quota LSU e acquisto di servizi da agenzie di lavoro interinale</v>
      </c>
      <c r="O970" s="131">
        <v>5992</v>
      </c>
      <c r="P970" s="614" t="str">
        <f>VLOOKUP(O970,'Centri di Costo'!$A$2:$B$179,2,FALSE)</f>
        <v>Attività generale Sez. Amministrativa</v>
      </c>
      <c r="Q970" s="619" t="s">
        <v>2014</v>
      </c>
      <c r="R970" s="649">
        <v>52</v>
      </c>
    </row>
    <row r="971" spans="1:18" ht="28.5" customHeight="1" outlineLevel="2">
      <c r="A971" s="95" t="s">
        <v>89</v>
      </c>
      <c r="B971" s="404">
        <v>54</v>
      </c>
      <c r="C971" s="95" t="s">
        <v>233</v>
      </c>
      <c r="D971" s="458" t="s">
        <v>7</v>
      </c>
      <c r="E971" s="520">
        <v>2018</v>
      </c>
      <c r="F971" s="521">
        <v>154</v>
      </c>
      <c r="G971" s="122" t="s">
        <v>248</v>
      </c>
      <c r="H971" s="586" t="s">
        <v>231</v>
      </c>
      <c r="I971" s="607">
        <f>10000+10000</f>
        <v>20000</v>
      </c>
      <c r="J971" s="595" t="s">
        <v>9</v>
      </c>
      <c r="K971" s="91">
        <v>1</v>
      </c>
      <c r="L971" s="91">
        <v>3</v>
      </c>
      <c r="M971" s="91">
        <v>52</v>
      </c>
      <c r="N971" s="119" t="str">
        <f>VLOOKUP(M971,'PF Uscite Sp. Corr.'!$C$1:$E$100,2,FALSE)</f>
        <v>Lavoro flessibile, quota LSU e acquisto di servizi da agenzie di lavoro interinale</v>
      </c>
      <c r="O971" s="131">
        <v>5992</v>
      </c>
      <c r="P971" s="614" t="str">
        <f>VLOOKUP(O971,'Centri di Costo'!$A$2:$B$179,2,FALSE)</f>
        <v>Attività generale Sez. Amministrativa</v>
      </c>
      <c r="Q971" s="619" t="s">
        <v>2014</v>
      </c>
      <c r="R971" s="649">
        <v>52</v>
      </c>
    </row>
    <row r="972" spans="1:18" ht="28.5" customHeight="1" outlineLevel="2">
      <c r="A972" s="85" t="s">
        <v>89</v>
      </c>
      <c r="B972" s="402" t="s">
        <v>1884</v>
      </c>
      <c r="C972" s="85" t="s">
        <v>150</v>
      </c>
      <c r="D972" s="148" t="s">
        <v>7</v>
      </c>
      <c r="E972" s="87">
        <v>2018</v>
      </c>
      <c r="F972" s="88">
        <v>175</v>
      </c>
      <c r="G972" s="120" t="s">
        <v>151</v>
      </c>
      <c r="H972" s="581" t="s">
        <v>1333</v>
      </c>
      <c r="I972" s="601">
        <v>67893</v>
      </c>
      <c r="J972" s="595" t="s">
        <v>9</v>
      </c>
      <c r="K972" s="91">
        <v>1</v>
      </c>
      <c r="L972" s="91">
        <v>3</v>
      </c>
      <c r="M972" s="92">
        <v>58</v>
      </c>
      <c r="N972" s="119" t="str">
        <f>VLOOKUP(M972,'PF Uscite Sp. Corr.'!$C$1:$E$100,2,FALSE)</f>
        <v>Servizi sanitari</v>
      </c>
      <c r="O972" s="131">
        <v>5992</v>
      </c>
      <c r="P972" s="614" t="str">
        <f>VLOOKUP(O972,'Centri di Costo'!$A$2:$B$179,2,FALSE)</f>
        <v>Attività generale Sez. Amministrativa</v>
      </c>
      <c r="Q972" s="619" t="s">
        <v>2014</v>
      </c>
      <c r="R972" s="642" t="s">
        <v>152</v>
      </c>
    </row>
    <row r="973" spans="1:18" s="112" customFormat="1" ht="28.5" customHeight="1" outlineLevel="2">
      <c r="A973" s="115" t="s">
        <v>89</v>
      </c>
      <c r="B973" s="402" t="s">
        <v>1884</v>
      </c>
      <c r="C973" s="115" t="s">
        <v>150</v>
      </c>
      <c r="D973" s="417" t="s">
        <v>7</v>
      </c>
      <c r="E973" s="412">
        <v>2018</v>
      </c>
      <c r="F973" s="88">
        <v>184</v>
      </c>
      <c r="G973" s="123" t="s">
        <v>158</v>
      </c>
      <c r="H973" s="583" t="s">
        <v>1333</v>
      </c>
      <c r="I973" s="603">
        <v>17500</v>
      </c>
      <c r="J973" s="596" t="s">
        <v>9</v>
      </c>
      <c r="K973" s="216">
        <v>1</v>
      </c>
      <c r="L973" s="216">
        <v>3</v>
      </c>
      <c r="M973" s="418">
        <v>58</v>
      </c>
      <c r="N973" s="118" t="str">
        <f>VLOOKUP(M973,'PF Uscite Sp. Corr.'!$C$1:$E$100,2,FALSE)</f>
        <v>Servizi sanitari</v>
      </c>
      <c r="O973" s="419">
        <v>5992</v>
      </c>
      <c r="P973" s="615" t="str">
        <f>VLOOKUP(O973,'Centri di Costo'!$A$2:$B$179,2,FALSE)</f>
        <v>Attività generale Sez. Amministrativa</v>
      </c>
      <c r="Q973" s="619" t="s">
        <v>2014</v>
      </c>
      <c r="R973" s="648" t="s">
        <v>152</v>
      </c>
    </row>
    <row r="974" spans="1:18" s="425" customFormat="1" ht="28.5" customHeight="1" outlineLevel="2">
      <c r="A974" s="393" t="s">
        <v>5</v>
      </c>
      <c r="B974" s="404" t="s">
        <v>1884</v>
      </c>
      <c r="C974" s="397" t="s">
        <v>32</v>
      </c>
      <c r="D974" s="511" t="s">
        <v>7</v>
      </c>
      <c r="E974" s="141">
        <v>2018</v>
      </c>
      <c r="F974" s="413">
        <v>275</v>
      </c>
      <c r="G974" s="124" t="s">
        <v>37</v>
      </c>
      <c r="H974" s="124" t="s">
        <v>1584</v>
      </c>
      <c r="I974" s="604">
        <v>50000</v>
      </c>
      <c r="J974" s="135" t="s">
        <v>9</v>
      </c>
      <c r="K974" s="136">
        <v>1</v>
      </c>
      <c r="L974" s="136">
        <v>8</v>
      </c>
      <c r="M974" s="532">
        <v>80</v>
      </c>
      <c r="N974" s="129" t="str">
        <f>VLOOKUP(M974,'PF Uscite Sp. Corr.'!$C$1:$E$100,2,FALSE)</f>
        <v>Altre spese per redditi da capitale n.a.c.</v>
      </c>
      <c r="O974" s="395">
        <v>5992</v>
      </c>
      <c r="P974" s="170" t="str">
        <f>VLOOKUP(O974,'Centri di Costo'!$A$2:$B$179,2,FALSE)</f>
        <v>Attività generale Sez. Amministrativa</v>
      </c>
      <c r="Q974" s="630" t="s">
        <v>1844</v>
      </c>
      <c r="R974" s="644" t="s">
        <v>25</v>
      </c>
    </row>
    <row r="975" spans="1:18" s="221" customFormat="1" ht="20.25" customHeight="1" outlineLevel="1" collapsed="1">
      <c r="A975" s="163"/>
      <c r="B975" s="433" t="s">
        <v>1931</v>
      </c>
      <c r="C975" s="161"/>
      <c r="D975" s="437"/>
      <c r="E975" s="438"/>
      <c r="F975" s="438"/>
      <c r="G975" s="441" t="s">
        <v>1938</v>
      </c>
      <c r="H975" s="214" t="s">
        <v>1519</v>
      </c>
      <c r="I975" s="605">
        <f>SUBTOTAL(9,I965:I974)</f>
        <v>218717</v>
      </c>
      <c r="J975" s="212"/>
      <c r="K975" s="179"/>
      <c r="L975" s="179"/>
      <c r="M975" s="531"/>
      <c r="N975" s="434"/>
      <c r="O975" s="439"/>
      <c r="P975" s="435"/>
      <c r="Q975" s="620"/>
      <c r="R975" s="645"/>
    </row>
    <row r="976" spans="1:18" s="139" customFormat="1" ht="55.5" customHeight="1" outlineLevel="2">
      <c r="A976" s="396" t="s">
        <v>89</v>
      </c>
      <c r="B976" s="404" t="s">
        <v>1891</v>
      </c>
      <c r="C976" s="396" t="s">
        <v>150</v>
      </c>
      <c r="D976" s="421" t="s">
        <v>7</v>
      </c>
      <c r="E976" s="422">
        <v>2018</v>
      </c>
      <c r="F976" s="423">
        <v>228</v>
      </c>
      <c r="G976" s="208" t="s">
        <v>157</v>
      </c>
      <c r="H976" s="584" t="s">
        <v>2015</v>
      </c>
      <c r="I976" s="604">
        <v>5000</v>
      </c>
      <c r="J976" s="597" t="s">
        <v>9</v>
      </c>
      <c r="K976" s="248">
        <v>1</v>
      </c>
      <c r="L976" s="248">
        <v>10</v>
      </c>
      <c r="M976" s="249">
        <v>96</v>
      </c>
      <c r="N976" s="415" t="str">
        <f>VLOOKUP(M976,'PF Uscite Sp. Corr.'!$C$1:$E$100,2,FALSE)</f>
        <v>Altre spese correnti n.a.c.</v>
      </c>
      <c r="O976" s="424">
        <v>5991</v>
      </c>
      <c r="P976" s="616" t="str">
        <f>VLOOKUP(O976,'Centri di Costo'!$A$2:$B$179,2,FALSE)</f>
        <v>Fondo per la Sicurezza -  Sez. Amministrativa</v>
      </c>
      <c r="Q976" s="632" t="s">
        <v>1844</v>
      </c>
      <c r="R976" s="646" t="s">
        <v>34</v>
      </c>
    </row>
    <row r="977" spans="1:18" s="215" customFormat="1" ht="20.25" customHeight="1" outlineLevel="1" collapsed="1">
      <c r="A977" s="160"/>
      <c r="B977" s="433" t="s">
        <v>1932</v>
      </c>
      <c r="C977" s="161"/>
      <c r="D977" s="437"/>
      <c r="E977" s="438"/>
      <c r="F977" s="438"/>
      <c r="G977" s="441" t="s">
        <v>1938</v>
      </c>
      <c r="H977" s="214" t="s">
        <v>1974</v>
      </c>
      <c r="I977" s="605">
        <f>SUBTOTAL(9,I976:I976)</f>
        <v>5000</v>
      </c>
      <c r="J977" s="212"/>
      <c r="K977" s="179"/>
      <c r="L977" s="179"/>
      <c r="M977" s="213"/>
      <c r="N977" s="434"/>
      <c r="O977" s="439"/>
      <c r="P977" s="435"/>
      <c r="Q977" s="620"/>
      <c r="R977" s="645"/>
    </row>
    <row r="978" spans="1:18" ht="28.5" customHeight="1" outlineLevel="2">
      <c r="A978" s="94" t="s">
        <v>89</v>
      </c>
      <c r="B978" s="402" t="s">
        <v>1885</v>
      </c>
      <c r="C978" s="94" t="s">
        <v>150</v>
      </c>
      <c r="D978" s="149" t="s">
        <v>7</v>
      </c>
      <c r="E978" s="101">
        <v>2018</v>
      </c>
      <c r="F978" s="102">
        <v>110</v>
      </c>
      <c r="G978" s="121" t="s">
        <v>198</v>
      </c>
      <c r="H978" s="580" t="s">
        <v>199</v>
      </c>
      <c r="I978" s="600">
        <v>3000</v>
      </c>
      <c r="J978" s="594" t="s">
        <v>9</v>
      </c>
      <c r="K978" s="99">
        <v>1</v>
      </c>
      <c r="L978" s="99">
        <v>2</v>
      </c>
      <c r="M978" s="113">
        <v>12</v>
      </c>
      <c r="N978" s="128" t="str">
        <f>VLOOKUP(M978,'PF Uscite Sp. Corr.'!$C$1:$E$100,2,FALSE)</f>
        <v>Imposta di registro e di bollo</v>
      </c>
      <c r="O978" s="132">
        <v>5300</v>
      </c>
      <c r="P978" s="613" t="str">
        <f>VLOOKUP(O978,'Centri di Costo'!$A$2:$B$179,2,FALSE)</f>
        <v>Approvvigionamenti Sez. Amm (ex AA.GG.LL.) - Att. Ord.</v>
      </c>
      <c r="Q978" s="632" t="s">
        <v>1844</v>
      </c>
      <c r="R978" s="639" t="s">
        <v>47</v>
      </c>
    </row>
    <row r="979" spans="1:18" ht="28.5" customHeight="1" outlineLevel="2">
      <c r="A979" s="85" t="s">
        <v>89</v>
      </c>
      <c r="B979" s="402" t="s">
        <v>1885</v>
      </c>
      <c r="C979" s="85" t="s">
        <v>150</v>
      </c>
      <c r="D979" s="148" t="s">
        <v>7</v>
      </c>
      <c r="E979" s="87">
        <v>2018</v>
      </c>
      <c r="F979" s="88">
        <v>169</v>
      </c>
      <c r="G979" s="120" t="s">
        <v>188</v>
      </c>
      <c r="H979" s="581" t="s">
        <v>189</v>
      </c>
      <c r="I979" s="601">
        <v>2000</v>
      </c>
      <c r="J979" s="595" t="s">
        <v>9</v>
      </c>
      <c r="K979" s="91">
        <v>1</v>
      </c>
      <c r="L979" s="91">
        <v>3</v>
      </c>
      <c r="M979" s="92">
        <v>32</v>
      </c>
      <c r="N979" s="119" t="str">
        <f>VLOOKUP(M979,'PF Uscite Sp. Corr.'!$C$1:$E$100,2,FALSE)</f>
        <v>Altri beni di consumo</v>
      </c>
      <c r="O979" s="131">
        <v>5300</v>
      </c>
      <c r="P979" s="614" t="str">
        <f>VLOOKUP(O979,'Centri di Costo'!$A$2:$B$179,2,FALSE)</f>
        <v>Approvvigionamenti Sez. Amm (ex AA.GG.LL.) - Att. Ord.</v>
      </c>
      <c r="Q979" s="624" t="s">
        <v>2014</v>
      </c>
      <c r="R979" s="642" t="s">
        <v>190</v>
      </c>
    </row>
    <row r="980" spans="1:18" ht="28.5" customHeight="1" outlineLevel="2">
      <c r="A980" s="85" t="s">
        <v>89</v>
      </c>
      <c r="B980" s="402" t="s">
        <v>1885</v>
      </c>
      <c r="C980" s="85" t="s">
        <v>150</v>
      </c>
      <c r="D980" s="148" t="s">
        <v>7</v>
      </c>
      <c r="E980" s="87">
        <v>2018</v>
      </c>
      <c r="F980" s="88">
        <v>169</v>
      </c>
      <c r="G980" s="120" t="s">
        <v>188</v>
      </c>
      <c r="H980" s="581" t="s">
        <v>191</v>
      </c>
      <c r="I980" s="601">
        <v>5000</v>
      </c>
      <c r="J980" s="595" t="s">
        <v>9</v>
      </c>
      <c r="K980" s="91">
        <v>1</v>
      </c>
      <c r="L980" s="91">
        <v>3</v>
      </c>
      <c r="M980" s="92">
        <v>32</v>
      </c>
      <c r="N980" s="119" t="str">
        <f>VLOOKUP(M980,'PF Uscite Sp. Corr.'!$C$1:$E$100,2,FALSE)</f>
        <v>Altri beni di consumo</v>
      </c>
      <c r="O980" s="131">
        <v>5300</v>
      </c>
      <c r="P980" s="614" t="str">
        <f>VLOOKUP(O980,'Centri di Costo'!$A$2:$B$179,2,FALSE)</f>
        <v>Approvvigionamenti Sez. Amm (ex AA.GG.LL.) - Att. Ord.</v>
      </c>
      <c r="Q980" s="624" t="s">
        <v>2014</v>
      </c>
      <c r="R980" s="642" t="s">
        <v>192</v>
      </c>
    </row>
    <row r="981" spans="1:18" ht="28.5" customHeight="1" outlineLevel="2">
      <c r="A981" s="85" t="s">
        <v>89</v>
      </c>
      <c r="B981" s="402" t="s">
        <v>1885</v>
      </c>
      <c r="C981" s="85" t="s">
        <v>150</v>
      </c>
      <c r="D981" s="148" t="s">
        <v>7</v>
      </c>
      <c r="E981" s="87">
        <v>2018</v>
      </c>
      <c r="F981" s="88">
        <v>169</v>
      </c>
      <c r="G981" s="120" t="s">
        <v>188</v>
      </c>
      <c r="H981" s="581" t="s">
        <v>193</v>
      </c>
      <c r="I981" s="601">
        <v>17500</v>
      </c>
      <c r="J981" s="595" t="s">
        <v>9</v>
      </c>
      <c r="K981" s="91">
        <v>1</v>
      </c>
      <c r="L981" s="91">
        <v>3</v>
      </c>
      <c r="M981" s="92">
        <v>32</v>
      </c>
      <c r="N981" s="119" t="str">
        <f>VLOOKUP(M981,'PF Uscite Sp. Corr.'!$C$1:$E$100,2,FALSE)</f>
        <v>Altri beni di consumo</v>
      </c>
      <c r="O981" s="131">
        <v>5300</v>
      </c>
      <c r="P981" s="614" t="str">
        <f>VLOOKUP(O981,'Centri di Costo'!$A$2:$B$179,2,FALSE)</f>
        <v>Approvvigionamenti Sez. Amm (ex AA.GG.LL.) - Att. Ord.</v>
      </c>
      <c r="Q981" s="624" t="s">
        <v>2014</v>
      </c>
      <c r="R981" s="642" t="s">
        <v>72</v>
      </c>
    </row>
    <row r="982" spans="1:18" ht="28.5" customHeight="1" outlineLevel="2">
      <c r="A982" s="85" t="s">
        <v>89</v>
      </c>
      <c r="B982" s="402" t="s">
        <v>1885</v>
      </c>
      <c r="C982" s="85" t="s">
        <v>150</v>
      </c>
      <c r="D982" s="148" t="s">
        <v>7</v>
      </c>
      <c r="E982" s="87">
        <v>2018</v>
      </c>
      <c r="F982" s="88">
        <v>108</v>
      </c>
      <c r="G982" s="120" t="s">
        <v>194</v>
      </c>
      <c r="H982" s="581" t="s">
        <v>195</v>
      </c>
      <c r="I982" s="601">
        <v>30000</v>
      </c>
      <c r="J982" s="595" t="s">
        <v>9</v>
      </c>
      <c r="K982" s="91">
        <v>1</v>
      </c>
      <c r="L982" s="91">
        <v>3</v>
      </c>
      <c r="M982" s="92">
        <v>45</v>
      </c>
      <c r="N982" s="119" t="str">
        <f>VLOOKUP(M982,'PF Uscite Sp. Corr.'!$C$1:$E$100,2,FALSE)</f>
        <v>Utenze e canoni</v>
      </c>
      <c r="O982" s="131">
        <v>5300</v>
      </c>
      <c r="P982" s="614" t="str">
        <f>VLOOKUP(O982,'Centri di Costo'!$A$2:$B$179,2,FALSE)</f>
        <v>Approvvigionamenti Sez. Amm (ex AA.GG.LL.) - Att. Ord.</v>
      </c>
      <c r="Q982" s="624" t="s">
        <v>2014</v>
      </c>
      <c r="R982" s="642" t="s">
        <v>77</v>
      </c>
    </row>
    <row r="983" spans="1:18" ht="28.5" customHeight="1" outlineLevel="2">
      <c r="A983" s="85" t="s">
        <v>89</v>
      </c>
      <c r="B983" s="402" t="s">
        <v>1885</v>
      </c>
      <c r="C983" s="85" t="s">
        <v>150</v>
      </c>
      <c r="D983" s="148" t="s">
        <v>7</v>
      </c>
      <c r="E983" s="87">
        <v>2018</v>
      </c>
      <c r="F983" s="88">
        <v>108</v>
      </c>
      <c r="G983" s="120" t="s">
        <v>194</v>
      </c>
      <c r="H983" s="581" t="s">
        <v>64</v>
      </c>
      <c r="I983" s="601">
        <v>10000</v>
      </c>
      <c r="J983" s="595" t="s">
        <v>9</v>
      </c>
      <c r="K983" s="91">
        <v>1</v>
      </c>
      <c r="L983" s="91">
        <v>3</v>
      </c>
      <c r="M983" s="92">
        <v>45</v>
      </c>
      <c r="N983" s="119" t="str">
        <f>VLOOKUP(M983,'PF Uscite Sp. Corr.'!$C$1:$E$100,2,FALSE)</f>
        <v>Utenze e canoni</v>
      </c>
      <c r="O983" s="131">
        <v>5300</v>
      </c>
      <c r="P983" s="614" t="str">
        <f>VLOOKUP(O983,'Centri di Costo'!$A$2:$B$179,2,FALSE)</f>
        <v>Approvvigionamenti Sez. Amm (ex AA.GG.LL.) - Att. Ord.</v>
      </c>
      <c r="Q983" s="624" t="s">
        <v>2014</v>
      </c>
      <c r="R983" s="642" t="s">
        <v>65</v>
      </c>
    </row>
    <row r="984" spans="1:18" ht="28.5" customHeight="1" outlineLevel="2">
      <c r="A984" s="85" t="s">
        <v>89</v>
      </c>
      <c r="B984" s="402" t="s">
        <v>1885</v>
      </c>
      <c r="C984" s="85" t="s">
        <v>150</v>
      </c>
      <c r="D984" s="148" t="s">
        <v>7</v>
      </c>
      <c r="E984" s="87">
        <v>2018</v>
      </c>
      <c r="F984" s="88">
        <v>108</v>
      </c>
      <c r="G984" s="120" t="s">
        <v>194</v>
      </c>
      <c r="H984" s="581" t="s">
        <v>196</v>
      </c>
      <c r="I984" s="601">
        <v>85000</v>
      </c>
      <c r="J984" s="595" t="s">
        <v>9</v>
      </c>
      <c r="K984" s="91">
        <v>1</v>
      </c>
      <c r="L984" s="91">
        <v>3</v>
      </c>
      <c r="M984" s="92">
        <v>45</v>
      </c>
      <c r="N984" s="119" t="str">
        <f>VLOOKUP(M984,'PF Uscite Sp. Corr.'!$C$1:$E$100,2,FALSE)</f>
        <v>Utenze e canoni</v>
      </c>
      <c r="O984" s="131">
        <v>5300</v>
      </c>
      <c r="P984" s="614" t="str">
        <f>VLOOKUP(O984,'Centri di Costo'!$A$2:$B$179,2,FALSE)</f>
        <v>Approvvigionamenti Sez. Amm (ex AA.GG.LL.) - Att. Ord.</v>
      </c>
      <c r="Q984" s="624" t="s">
        <v>2014</v>
      </c>
      <c r="R984" s="642" t="s">
        <v>197</v>
      </c>
    </row>
    <row r="985" spans="1:18" ht="28.5" customHeight="1" outlineLevel="2">
      <c r="A985" s="85" t="s">
        <v>89</v>
      </c>
      <c r="B985" s="402" t="s">
        <v>1885</v>
      </c>
      <c r="C985" s="85" t="s">
        <v>150</v>
      </c>
      <c r="D985" s="148" t="s">
        <v>7</v>
      </c>
      <c r="E985" s="87">
        <v>2018</v>
      </c>
      <c r="F985" s="88">
        <v>173</v>
      </c>
      <c r="G985" s="120" t="s">
        <v>178</v>
      </c>
      <c r="H985" s="581" t="s">
        <v>179</v>
      </c>
      <c r="I985" s="601">
        <v>7500</v>
      </c>
      <c r="J985" s="595" t="s">
        <v>9</v>
      </c>
      <c r="K985" s="91">
        <v>1</v>
      </c>
      <c r="L985" s="91">
        <v>3</v>
      </c>
      <c r="M985" s="92">
        <v>47</v>
      </c>
      <c r="N985" s="119" t="str">
        <f>VLOOKUP(M985,'PF Uscite Sp. Corr.'!$C$1:$E$100,2,FALSE)</f>
        <v>Utilizzo di beni di terzi</v>
      </c>
      <c r="O985" s="131">
        <v>5300</v>
      </c>
      <c r="P985" s="614" t="str">
        <f>VLOOKUP(O985,'Centri di Costo'!$A$2:$B$179,2,FALSE)</f>
        <v>Approvvigionamenti Sez. Amm (ex AA.GG.LL.) - Att. Ord.</v>
      </c>
      <c r="Q985" s="624" t="s">
        <v>2014</v>
      </c>
      <c r="R985" s="642" t="s">
        <v>180</v>
      </c>
    </row>
    <row r="986" spans="1:18" ht="28.5" customHeight="1" outlineLevel="2">
      <c r="A986" s="85" t="s">
        <v>89</v>
      </c>
      <c r="B986" s="402" t="s">
        <v>1885</v>
      </c>
      <c r="C986" s="85" t="s">
        <v>150</v>
      </c>
      <c r="D986" s="148" t="s">
        <v>7</v>
      </c>
      <c r="E986" s="87">
        <v>2018</v>
      </c>
      <c r="F986" s="88">
        <v>173</v>
      </c>
      <c r="G986" s="120" t="s">
        <v>178</v>
      </c>
      <c r="H986" s="581" t="s">
        <v>181</v>
      </c>
      <c r="I986" s="601">
        <v>800</v>
      </c>
      <c r="J986" s="595" t="s">
        <v>9</v>
      </c>
      <c r="K986" s="91">
        <v>1</v>
      </c>
      <c r="L986" s="91">
        <v>3</v>
      </c>
      <c r="M986" s="92">
        <v>47</v>
      </c>
      <c r="N986" s="119" t="str">
        <f>VLOOKUP(M986,'PF Uscite Sp. Corr.'!$C$1:$E$100,2,FALSE)</f>
        <v>Utilizzo di beni di terzi</v>
      </c>
      <c r="O986" s="131">
        <v>5300</v>
      </c>
      <c r="P986" s="614" t="str">
        <f>VLOOKUP(O986,'Centri di Costo'!$A$2:$B$179,2,FALSE)</f>
        <v>Approvvigionamenti Sez. Amm (ex AA.GG.LL.) - Att. Ord.</v>
      </c>
      <c r="Q986" s="624" t="s">
        <v>2014</v>
      </c>
      <c r="R986" s="642" t="s">
        <v>127</v>
      </c>
    </row>
    <row r="987" spans="1:18" ht="28.5" customHeight="1" outlineLevel="2">
      <c r="A987" s="85" t="s">
        <v>89</v>
      </c>
      <c r="B987" s="402" t="s">
        <v>1885</v>
      </c>
      <c r="C987" s="85" t="s">
        <v>150</v>
      </c>
      <c r="D987" s="148" t="s">
        <v>7</v>
      </c>
      <c r="E987" s="87">
        <v>2018</v>
      </c>
      <c r="F987" s="88">
        <v>178</v>
      </c>
      <c r="G987" s="120" t="s">
        <v>175</v>
      </c>
      <c r="H987" s="581" t="s">
        <v>176</v>
      </c>
      <c r="I987" s="601">
        <v>5000</v>
      </c>
      <c r="J987" s="595" t="s">
        <v>9</v>
      </c>
      <c r="K987" s="91">
        <v>1</v>
      </c>
      <c r="L987" s="91">
        <v>3</v>
      </c>
      <c r="M987" s="92">
        <v>49</v>
      </c>
      <c r="N987" s="119" t="str">
        <f>VLOOKUP(M987,'PF Uscite Sp. Corr.'!$C$1:$E$100,2,FALSE)</f>
        <v>Manutenzione ordinaria e riparazioni</v>
      </c>
      <c r="O987" s="131">
        <v>5300</v>
      </c>
      <c r="P987" s="614" t="str">
        <f>VLOOKUP(O987,'Centri di Costo'!$A$2:$B$179,2,FALSE)</f>
        <v>Approvvigionamenti Sez. Amm (ex AA.GG.LL.) - Att. Ord.</v>
      </c>
      <c r="Q987" s="624" t="s">
        <v>2014</v>
      </c>
      <c r="R987" s="642" t="s">
        <v>177</v>
      </c>
    </row>
    <row r="988" spans="1:18" ht="28.5" customHeight="1" outlineLevel="2">
      <c r="A988" s="85" t="s">
        <v>89</v>
      </c>
      <c r="B988" s="402" t="s">
        <v>1885</v>
      </c>
      <c r="C988" s="85" t="s">
        <v>150</v>
      </c>
      <c r="D988" s="148" t="s">
        <v>7</v>
      </c>
      <c r="E988" s="87">
        <v>2018</v>
      </c>
      <c r="F988" s="88">
        <v>174</v>
      </c>
      <c r="G988" s="120" t="s">
        <v>182</v>
      </c>
      <c r="H988" s="581" t="s">
        <v>183</v>
      </c>
      <c r="I988" s="601">
        <v>75000</v>
      </c>
      <c r="J988" s="595" t="s">
        <v>9</v>
      </c>
      <c r="K988" s="91">
        <v>1</v>
      </c>
      <c r="L988" s="91">
        <v>3</v>
      </c>
      <c r="M988" s="92">
        <v>53</v>
      </c>
      <c r="N988" s="119" t="str">
        <f>VLOOKUP(M988,'PF Uscite Sp. Corr.'!$C$1:$E$100,2,FALSE)</f>
        <v>Servizi ausiliari per il funzionamento dell'ente</v>
      </c>
      <c r="O988" s="131">
        <v>5300</v>
      </c>
      <c r="P988" s="614" t="str">
        <f>VLOOKUP(O988,'Centri di Costo'!$A$2:$B$179,2,FALSE)</f>
        <v>Approvvigionamenti Sez. Amm (ex AA.GG.LL.) - Att. Ord.</v>
      </c>
      <c r="Q988" s="624" t="s">
        <v>2014</v>
      </c>
      <c r="R988" s="642" t="s">
        <v>88</v>
      </c>
    </row>
    <row r="989" spans="1:18" ht="28.5" customHeight="1" outlineLevel="2">
      <c r="A989" s="85" t="s">
        <v>89</v>
      </c>
      <c r="B989" s="402" t="s">
        <v>1885</v>
      </c>
      <c r="C989" s="85" t="s">
        <v>150</v>
      </c>
      <c r="D989" s="148" t="s">
        <v>7</v>
      </c>
      <c r="E989" s="87">
        <v>2018</v>
      </c>
      <c r="F989" s="88">
        <v>174</v>
      </c>
      <c r="G989" s="120" t="s">
        <v>182</v>
      </c>
      <c r="H989" s="581" t="s">
        <v>184</v>
      </c>
      <c r="I989" s="601">
        <v>3000</v>
      </c>
      <c r="J989" s="595" t="s">
        <v>9</v>
      </c>
      <c r="K989" s="91">
        <v>1</v>
      </c>
      <c r="L989" s="91">
        <v>3</v>
      </c>
      <c r="M989" s="92">
        <v>53</v>
      </c>
      <c r="N989" s="119" t="str">
        <f>VLOOKUP(M989,'PF Uscite Sp. Corr.'!$C$1:$E$100,2,FALSE)</f>
        <v>Servizi ausiliari per il funzionamento dell'ente</v>
      </c>
      <c r="O989" s="131">
        <v>5300</v>
      </c>
      <c r="P989" s="614" t="str">
        <f>VLOOKUP(O989,'Centri di Costo'!$A$2:$B$179,2,FALSE)</f>
        <v>Approvvigionamenti Sez. Amm (ex AA.GG.LL.) - Att. Ord.</v>
      </c>
      <c r="Q989" s="624" t="s">
        <v>2014</v>
      </c>
      <c r="R989" s="642" t="s">
        <v>54</v>
      </c>
    </row>
    <row r="990" spans="1:18" ht="28.5" customHeight="1" outlineLevel="2">
      <c r="A990" s="85" t="s">
        <v>89</v>
      </c>
      <c r="B990" s="402" t="s">
        <v>1885</v>
      </c>
      <c r="C990" s="85" t="s">
        <v>150</v>
      </c>
      <c r="D990" s="148" t="s">
        <v>7</v>
      </c>
      <c r="E990" s="87">
        <v>2018</v>
      </c>
      <c r="F990" s="88">
        <v>174</v>
      </c>
      <c r="G990" s="120" t="s">
        <v>182</v>
      </c>
      <c r="H990" s="581" t="s">
        <v>185</v>
      </c>
      <c r="I990" s="601">
        <v>6000</v>
      </c>
      <c r="J990" s="595" t="s">
        <v>9</v>
      </c>
      <c r="K990" s="91">
        <v>1</v>
      </c>
      <c r="L990" s="91">
        <v>3</v>
      </c>
      <c r="M990" s="92">
        <v>53</v>
      </c>
      <c r="N990" s="119" t="str">
        <f>VLOOKUP(M990,'PF Uscite Sp. Corr.'!$C$1:$E$100,2,FALSE)</f>
        <v>Servizi ausiliari per il funzionamento dell'ente</v>
      </c>
      <c r="O990" s="131">
        <v>5300</v>
      </c>
      <c r="P990" s="614" t="str">
        <f>VLOOKUP(O990,'Centri di Costo'!$A$2:$B$179,2,FALSE)</f>
        <v>Approvvigionamenti Sez. Amm (ex AA.GG.LL.) - Att. Ord.</v>
      </c>
      <c r="Q990" s="624" t="s">
        <v>2014</v>
      </c>
      <c r="R990" s="642" t="s">
        <v>186</v>
      </c>
    </row>
    <row r="991" spans="1:18" ht="28.5" customHeight="1" outlineLevel="2">
      <c r="A991" s="85" t="s">
        <v>89</v>
      </c>
      <c r="B991" s="402" t="s">
        <v>1885</v>
      </c>
      <c r="C991" s="85" t="s">
        <v>150</v>
      </c>
      <c r="D991" s="148" t="s">
        <v>7</v>
      </c>
      <c r="E991" s="87">
        <v>2018</v>
      </c>
      <c r="F991" s="88">
        <v>174</v>
      </c>
      <c r="G991" s="120" t="s">
        <v>182</v>
      </c>
      <c r="H991" s="581" t="s">
        <v>187</v>
      </c>
      <c r="I991" s="601">
        <v>60000</v>
      </c>
      <c r="J991" s="595" t="s">
        <v>9</v>
      </c>
      <c r="K991" s="91">
        <v>1</v>
      </c>
      <c r="L991" s="91">
        <v>3</v>
      </c>
      <c r="M991" s="92">
        <v>53</v>
      </c>
      <c r="N991" s="119" t="str">
        <f>VLOOKUP(M991,'PF Uscite Sp. Corr.'!$C$1:$E$100,2,FALSE)</f>
        <v>Servizi ausiliari per il funzionamento dell'ente</v>
      </c>
      <c r="O991" s="131">
        <v>5300</v>
      </c>
      <c r="P991" s="614" t="str">
        <f>VLOOKUP(O991,'Centri di Costo'!$A$2:$B$179,2,FALSE)</f>
        <v>Approvvigionamenti Sez. Amm (ex AA.GG.LL.) - Att. Ord.</v>
      </c>
      <c r="Q991" s="624" t="s">
        <v>2014</v>
      </c>
      <c r="R991" s="642" t="s">
        <v>86</v>
      </c>
    </row>
    <row r="992" spans="1:18" ht="28.5" customHeight="1" outlineLevel="2">
      <c r="A992" s="85" t="s">
        <v>89</v>
      </c>
      <c r="B992" s="402" t="s">
        <v>1885</v>
      </c>
      <c r="C992" s="85" t="s">
        <v>150</v>
      </c>
      <c r="D992" s="148" t="s">
        <v>7</v>
      </c>
      <c r="E992" s="87">
        <v>2018</v>
      </c>
      <c r="F992" s="88">
        <v>176</v>
      </c>
      <c r="G992" s="120" t="s">
        <v>171</v>
      </c>
      <c r="H992" s="581" t="s">
        <v>172</v>
      </c>
      <c r="I992" s="601">
        <v>6000</v>
      </c>
      <c r="J992" s="595" t="s">
        <v>9</v>
      </c>
      <c r="K992" s="91">
        <v>1</v>
      </c>
      <c r="L992" s="91">
        <v>3</v>
      </c>
      <c r="M992" s="92">
        <v>56</v>
      </c>
      <c r="N992" s="119" t="str">
        <f>VLOOKUP(M992,'PF Uscite Sp. Corr.'!$C$1:$E$100,2,FALSE)</f>
        <v>Servizi amministrativi</v>
      </c>
      <c r="O992" s="131">
        <v>5300</v>
      </c>
      <c r="P992" s="614" t="str">
        <f>VLOOKUP(O992,'Centri di Costo'!$A$2:$B$179,2,FALSE)</f>
        <v>Approvvigionamenti Sez. Amm (ex AA.GG.LL.) - Att. Ord.</v>
      </c>
      <c r="Q992" s="624" t="s">
        <v>2014</v>
      </c>
      <c r="R992" s="642" t="s">
        <v>173</v>
      </c>
    </row>
    <row r="993" spans="1:18" ht="28.5" customHeight="1" outlineLevel="2">
      <c r="A993" s="85" t="s">
        <v>89</v>
      </c>
      <c r="B993" s="402" t="s">
        <v>1885</v>
      </c>
      <c r="C993" s="85" t="s">
        <v>150</v>
      </c>
      <c r="D993" s="148" t="s">
        <v>7</v>
      </c>
      <c r="E993" s="87">
        <v>2018</v>
      </c>
      <c r="F993" s="88">
        <v>176</v>
      </c>
      <c r="G993" s="120" t="s">
        <v>171</v>
      </c>
      <c r="H993" s="581" t="s">
        <v>174</v>
      </c>
      <c r="I993" s="601">
        <v>7000</v>
      </c>
      <c r="J993" s="595" t="s">
        <v>9</v>
      </c>
      <c r="K993" s="91">
        <v>1</v>
      </c>
      <c r="L993" s="91">
        <v>3</v>
      </c>
      <c r="M993" s="92">
        <v>56</v>
      </c>
      <c r="N993" s="119" t="str">
        <f>VLOOKUP(M993,'PF Uscite Sp. Corr.'!$C$1:$E$100,2,FALSE)</f>
        <v>Servizi amministrativi</v>
      </c>
      <c r="O993" s="131">
        <v>5300</v>
      </c>
      <c r="P993" s="614" t="str">
        <f>VLOOKUP(O993,'Centri di Costo'!$A$2:$B$179,2,FALSE)</f>
        <v>Approvvigionamenti Sez. Amm (ex AA.GG.LL.) - Att. Ord.</v>
      </c>
      <c r="Q993" s="624" t="s">
        <v>2014</v>
      </c>
      <c r="R993" s="642" t="s">
        <v>79</v>
      </c>
    </row>
    <row r="994" spans="1:18" ht="28.5" customHeight="1" outlineLevel="2">
      <c r="A994" s="85" t="s">
        <v>89</v>
      </c>
      <c r="B994" s="402" t="s">
        <v>1885</v>
      </c>
      <c r="C994" s="85" t="s">
        <v>150</v>
      </c>
      <c r="D994" s="148" t="s">
        <v>7</v>
      </c>
      <c r="E994" s="87">
        <v>2018</v>
      </c>
      <c r="F994" s="88">
        <v>133</v>
      </c>
      <c r="G994" s="120" t="s">
        <v>200</v>
      </c>
      <c r="H994" s="581" t="s">
        <v>204</v>
      </c>
      <c r="I994" s="601">
        <v>9500</v>
      </c>
      <c r="J994" s="595" t="s">
        <v>9</v>
      </c>
      <c r="K994" s="91">
        <v>1</v>
      </c>
      <c r="L994" s="91">
        <v>3</v>
      </c>
      <c r="M994" s="92">
        <v>59</v>
      </c>
      <c r="N994" s="119" t="str">
        <f>VLOOKUP(M994,'PF Uscite Sp. Corr.'!$C$1:$E$100,2,FALSE)</f>
        <v>Servizi informatici e di telecomunicazioni</v>
      </c>
      <c r="O994" s="131">
        <v>5300</v>
      </c>
      <c r="P994" s="614" t="str">
        <f>VLOOKUP(O994,'Centri di Costo'!$A$2:$B$179,2,FALSE)</f>
        <v>Approvvigionamenti Sez. Amm (ex AA.GG.LL.) - Att. Ord.</v>
      </c>
      <c r="Q994" s="624" t="s">
        <v>2014</v>
      </c>
      <c r="R994" s="642" t="s">
        <v>202</v>
      </c>
    </row>
    <row r="995" spans="1:18" ht="28.5" customHeight="1" outlineLevel="2">
      <c r="A995" s="85" t="s">
        <v>89</v>
      </c>
      <c r="B995" s="402" t="s">
        <v>1885</v>
      </c>
      <c r="C995" s="85" t="s">
        <v>150</v>
      </c>
      <c r="D995" s="148" t="s">
        <v>7</v>
      </c>
      <c r="E995" s="87">
        <v>2018</v>
      </c>
      <c r="F995" s="88">
        <v>133</v>
      </c>
      <c r="G995" s="120" t="s">
        <v>200</v>
      </c>
      <c r="H995" s="581" t="s">
        <v>207</v>
      </c>
      <c r="I995" s="601">
        <v>9500</v>
      </c>
      <c r="J995" s="595" t="s">
        <v>9</v>
      </c>
      <c r="K995" s="91">
        <v>1</v>
      </c>
      <c r="L995" s="91">
        <v>3</v>
      </c>
      <c r="M995" s="92">
        <v>59</v>
      </c>
      <c r="N995" s="119" t="str">
        <f>VLOOKUP(M995,'PF Uscite Sp. Corr.'!$C$1:$E$100,2,FALSE)</f>
        <v>Servizi informatici e di telecomunicazioni</v>
      </c>
      <c r="O995" s="131">
        <v>5300</v>
      </c>
      <c r="P995" s="614" t="str">
        <f>VLOOKUP(O995,'Centri di Costo'!$A$2:$B$179,2,FALSE)</f>
        <v>Approvvigionamenti Sez. Amm (ex AA.GG.LL.) - Att. Ord.</v>
      </c>
      <c r="Q995" s="624" t="s">
        <v>2014</v>
      </c>
      <c r="R995" s="642" t="s">
        <v>202</v>
      </c>
    </row>
    <row r="996" spans="1:18" ht="28.5" customHeight="1" outlineLevel="2">
      <c r="A996" s="85" t="s">
        <v>89</v>
      </c>
      <c r="B996" s="402" t="s">
        <v>1885</v>
      </c>
      <c r="C996" s="85" t="s">
        <v>150</v>
      </c>
      <c r="D996" s="148" t="s">
        <v>7</v>
      </c>
      <c r="E996" s="87">
        <v>2018</v>
      </c>
      <c r="F996" s="88">
        <v>171</v>
      </c>
      <c r="G996" s="120" t="s">
        <v>218</v>
      </c>
      <c r="H996" s="581" t="s">
        <v>219</v>
      </c>
      <c r="I996" s="601">
        <v>3000</v>
      </c>
      <c r="J996" s="595" t="s">
        <v>9</v>
      </c>
      <c r="K996" s="91">
        <v>1</v>
      </c>
      <c r="L996" s="91">
        <v>3</v>
      </c>
      <c r="M996" s="92">
        <v>59</v>
      </c>
      <c r="N996" s="119" t="str">
        <f>VLOOKUP(M996,'PF Uscite Sp. Corr.'!$C$1:$E$100,2,FALSE)</f>
        <v>Servizi informatici e di telecomunicazioni</v>
      </c>
      <c r="O996" s="131">
        <v>5300</v>
      </c>
      <c r="P996" s="614" t="str">
        <f>VLOOKUP(O996,'Centri di Costo'!$A$2:$B$179,2,FALSE)</f>
        <v>Approvvigionamenti Sez. Amm (ex AA.GG.LL.) - Att. Ord.</v>
      </c>
      <c r="Q996" s="624" t="s">
        <v>2014</v>
      </c>
      <c r="R996" s="642" t="s">
        <v>220</v>
      </c>
    </row>
    <row r="997" spans="1:18" ht="28.5" customHeight="1" outlineLevel="2">
      <c r="A997" s="85" t="s">
        <v>89</v>
      </c>
      <c r="B997" s="402" t="s">
        <v>1885</v>
      </c>
      <c r="C997" s="85" t="s">
        <v>150</v>
      </c>
      <c r="D997" s="148" t="s">
        <v>7</v>
      </c>
      <c r="E997" s="87">
        <v>2018</v>
      </c>
      <c r="F997" s="88">
        <v>171</v>
      </c>
      <c r="G997" s="120" t="s">
        <v>218</v>
      </c>
      <c r="H997" s="581" t="s">
        <v>221</v>
      </c>
      <c r="I997" s="601">
        <v>7500</v>
      </c>
      <c r="J997" s="595" t="s">
        <v>9</v>
      </c>
      <c r="K997" s="91">
        <v>1</v>
      </c>
      <c r="L997" s="91">
        <v>3</v>
      </c>
      <c r="M997" s="92">
        <v>59</v>
      </c>
      <c r="N997" s="119" t="str">
        <f>VLOOKUP(M997,'PF Uscite Sp. Corr.'!$C$1:$E$100,2,FALSE)</f>
        <v>Servizi informatici e di telecomunicazioni</v>
      </c>
      <c r="O997" s="131">
        <v>5300</v>
      </c>
      <c r="P997" s="614" t="str">
        <f>VLOOKUP(O997,'Centri di Costo'!$A$2:$B$179,2,FALSE)</f>
        <v>Approvvigionamenti Sez. Amm (ex AA.GG.LL.) - Att. Ord.</v>
      </c>
      <c r="Q997" s="624" t="s">
        <v>2014</v>
      </c>
      <c r="R997" s="642" t="s">
        <v>220</v>
      </c>
    </row>
    <row r="998" spans="1:18" ht="28.5" customHeight="1" outlineLevel="2">
      <c r="A998" s="85" t="s">
        <v>89</v>
      </c>
      <c r="B998" s="402" t="s">
        <v>1885</v>
      </c>
      <c r="C998" s="85" t="s">
        <v>150</v>
      </c>
      <c r="D998" s="148" t="s">
        <v>7</v>
      </c>
      <c r="E998" s="87">
        <v>2018</v>
      </c>
      <c r="F998" s="88">
        <v>181</v>
      </c>
      <c r="G998" s="120" t="s">
        <v>159</v>
      </c>
      <c r="H998" s="581" t="s">
        <v>160</v>
      </c>
      <c r="I998" s="601">
        <v>9000</v>
      </c>
      <c r="J998" s="595" t="s">
        <v>9</v>
      </c>
      <c r="K998" s="91">
        <v>1</v>
      </c>
      <c r="L998" s="91">
        <v>10</v>
      </c>
      <c r="M998" s="92">
        <v>86</v>
      </c>
      <c r="N998" s="119" t="str">
        <f>VLOOKUP(M998,'PF Uscite Sp. Corr.'!$C$1:$E$100,2,FALSE)</f>
        <v>Premi di assicurazione contro i danni</v>
      </c>
      <c r="O998" s="131">
        <v>5300</v>
      </c>
      <c r="P998" s="614" t="str">
        <f>VLOOKUP(O998,'Centri di Costo'!$A$2:$B$179,2,FALSE)</f>
        <v>Approvvigionamenti Sez. Amm (ex AA.GG.LL.) - Att. Ord.</v>
      </c>
      <c r="Q998" s="624" t="s">
        <v>2014</v>
      </c>
      <c r="R998" s="642" t="s">
        <v>56</v>
      </c>
    </row>
    <row r="999" spans="1:18" ht="28.5" customHeight="1" outlineLevel="2">
      <c r="A999" s="85" t="s">
        <v>89</v>
      </c>
      <c r="B999" s="402" t="s">
        <v>1885</v>
      </c>
      <c r="C999" s="85" t="s">
        <v>150</v>
      </c>
      <c r="D999" s="148" t="s">
        <v>7</v>
      </c>
      <c r="E999" s="87">
        <v>2018</v>
      </c>
      <c r="F999" s="88">
        <v>181</v>
      </c>
      <c r="G999" s="120" t="s">
        <v>159</v>
      </c>
      <c r="H999" s="581" t="s">
        <v>161</v>
      </c>
      <c r="I999" s="601">
        <v>6000</v>
      </c>
      <c r="J999" s="595" t="s">
        <v>9</v>
      </c>
      <c r="K999" s="91">
        <v>1</v>
      </c>
      <c r="L999" s="91">
        <v>10</v>
      </c>
      <c r="M999" s="92">
        <v>86</v>
      </c>
      <c r="N999" s="119" t="str">
        <f>VLOOKUP(M999,'PF Uscite Sp. Corr.'!$C$1:$E$100,2,FALSE)</f>
        <v>Premi di assicurazione contro i danni</v>
      </c>
      <c r="O999" s="131">
        <v>5300</v>
      </c>
      <c r="P999" s="614" t="str">
        <f>VLOOKUP(O999,'Centri di Costo'!$A$2:$B$179,2,FALSE)</f>
        <v>Approvvigionamenti Sez. Amm (ex AA.GG.LL.) - Att. Ord.</v>
      </c>
      <c r="Q999" s="624" t="s">
        <v>2014</v>
      </c>
      <c r="R999" s="642" t="s">
        <v>59</v>
      </c>
    </row>
    <row r="1000" spans="1:18" ht="28.5" customHeight="1" outlineLevel="2">
      <c r="A1000" s="85" t="s">
        <v>89</v>
      </c>
      <c r="B1000" s="402" t="s">
        <v>1885</v>
      </c>
      <c r="C1000" s="85" t="s">
        <v>150</v>
      </c>
      <c r="D1000" s="148" t="s">
        <v>7</v>
      </c>
      <c r="E1000" s="87">
        <v>2018</v>
      </c>
      <c r="F1000" s="88">
        <v>181</v>
      </c>
      <c r="G1000" s="120" t="s">
        <v>159</v>
      </c>
      <c r="H1000" s="581" t="s">
        <v>162</v>
      </c>
      <c r="I1000" s="601">
        <v>10000</v>
      </c>
      <c r="J1000" s="595" t="s">
        <v>9</v>
      </c>
      <c r="K1000" s="91">
        <v>1</v>
      </c>
      <c r="L1000" s="91">
        <v>10</v>
      </c>
      <c r="M1000" s="92">
        <v>86</v>
      </c>
      <c r="N1000" s="119" t="str">
        <f>VLOOKUP(M1000,'PF Uscite Sp. Corr.'!$C$1:$E$100,2,FALSE)</f>
        <v>Premi di assicurazione contro i danni</v>
      </c>
      <c r="O1000" s="131">
        <v>5300</v>
      </c>
      <c r="P1000" s="614" t="str">
        <f>VLOOKUP(O1000,'Centri di Costo'!$A$2:$B$179,2,FALSE)</f>
        <v>Approvvigionamenti Sez. Amm (ex AA.GG.LL.) - Att. Ord.</v>
      </c>
      <c r="Q1000" s="624" t="s">
        <v>2014</v>
      </c>
      <c r="R1000" s="642" t="s">
        <v>163</v>
      </c>
    </row>
    <row r="1001" spans="1:18" ht="28.5" customHeight="1" outlineLevel="2">
      <c r="A1001" s="85" t="s">
        <v>89</v>
      </c>
      <c r="B1001" s="402" t="s">
        <v>1885</v>
      </c>
      <c r="C1001" s="85" t="s">
        <v>150</v>
      </c>
      <c r="D1001" s="148" t="s">
        <v>7</v>
      </c>
      <c r="E1001" s="87">
        <v>2018</v>
      </c>
      <c r="F1001" s="88">
        <v>181</v>
      </c>
      <c r="G1001" s="120" t="s">
        <v>159</v>
      </c>
      <c r="H1001" s="581" t="s">
        <v>164</v>
      </c>
      <c r="I1001" s="601">
        <v>13000</v>
      </c>
      <c r="J1001" s="595" t="s">
        <v>9</v>
      </c>
      <c r="K1001" s="91">
        <v>1</v>
      </c>
      <c r="L1001" s="91">
        <v>10</v>
      </c>
      <c r="M1001" s="92">
        <v>86</v>
      </c>
      <c r="N1001" s="119" t="str">
        <f>VLOOKUP(M1001,'PF Uscite Sp. Corr.'!$C$1:$E$100,2,FALSE)</f>
        <v>Premi di assicurazione contro i danni</v>
      </c>
      <c r="O1001" s="131">
        <v>5300</v>
      </c>
      <c r="P1001" s="614" t="str">
        <f>VLOOKUP(O1001,'Centri di Costo'!$A$2:$B$179,2,FALSE)</f>
        <v>Approvvigionamenti Sez. Amm (ex AA.GG.LL.) - Att. Ord.</v>
      </c>
      <c r="Q1001" s="624" t="s">
        <v>2014</v>
      </c>
      <c r="R1001" s="642" t="s">
        <v>163</v>
      </c>
    </row>
    <row r="1002" spans="1:18" ht="61.5" customHeight="1" outlineLevel="2">
      <c r="A1002" s="85" t="s">
        <v>89</v>
      </c>
      <c r="B1002" s="402" t="s">
        <v>1885</v>
      </c>
      <c r="C1002" s="85" t="s">
        <v>150</v>
      </c>
      <c r="D1002" s="148" t="s">
        <v>7</v>
      </c>
      <c r="E1002" s="87">
        <v>2018</v>
      </c>
      <c r="F1002" s="88">
        <v>181</v>
      </c>
      <c r="G1002" s="120" t="s">
        <v>159</v>
      </c>
      <c r="H1002" s="581" t="s">
        <v>167</v>
      </c>
      <c r="I1002" s="601">
        <v>8000</v>
      </c>
      <c r="J1002" s="595" t="s">
        <v>9</v>
      </c>
      <c r="K1002" s="91">
        <v>1</v>
      </c>
      <c r="L1002" s="91">
        <v>10</v>
      </c>
      <c r="M1002" s="92">
        <v>86</v>
      </c>
      <c r="N1002" s="119" t="str">
        <f>VLOOKUP(M1002,'PF Uscite Sp. Corr.'!$C$1:$E$100,2,FALSE)</f>
        <v>Premi di assicurazione contro i danni</v>
      </c>
      <c r="O1002" s="131">
        <v>5300</v>
      </c>
      <c r="P1002" s="614" t="str">
        <f>VLOOKUP(O1002,'Centri di Costo'!$A$2:$B$179,2,FALSE)</f>
        <v>Approvvigionamenti Sez. Amm (ex AA.GG.LL.) - Att. Ord.</v>
      </c>
      <c r="Q1002" s="624" t="s">
        <v>2014</v>
      </c>
      <c r="R1002" s="642" t="s">
        <v>59</v>
      </c>
    </row>
    <row r="1003" spans="1:18" ht="28.5" customHeight="1" outlineLevel="2">
      <c r="A1003" s="85" t="s">
        <v>89</v>
      </c>
      <c r="B1003" s="402" t="s">
        <v>1885</v>
      </c>
      <c r="C1003" s="85" t="s">
        <v>150</v>
      </c>
      <c r="D1003" s="148" t="s">
        <v>7</v>
      </c>
      <c r="E1003" s="87">
        <v>2018</v>
      </c>
      <c r="F1003" s="88">
        <v>181</v>
      </c>
      <c r="G1003" s="120" t="s">
        <v>159</v>
      </c>
      <c r="H1003" s="581" t="s">
        <v>168</v>
      </c>
      <c r="I1003" s="601">
        <v>10000</v>
      </c>
      <c r="J1003" s="595" t="s">
        <v>9</v>
      </c>
      <c r="K1003" s="91">
        <v>1</v>
      </c>
      <c r="L1003" s="91">
        <v>10</v>
      </c>
      <c r="M1003" s="92">
        <v>86</v>
      </c>
      <c r="N1003" s="119" t="str">
        <f>VLOOKUP(M1003,'PF Uscite Sp. Corr.'!$C$1:$E$100,2,FALSE)</f>
        <v>Premi di assicurazione contro i danni</v>
      </c>
      <c r="O1003" s="131">
        <v>5300</v>
      </c>
      <c r="P1003" s="614" t="str">
        <f>VLOOKUP(O1003,'Centri di Costo'!$A$2:$B$179,2,FALSE)</f>
        <v>Approvvigionamenti Sez. Amm (ex AA.GG.LL.) - Att. Ord.</v>
      </c>
      <c r="Q1003" s="624" t="s">
        <v>2014</v>
      </c>
      <c r="R1003" s="642" t="s">
        <v>59</v>
      </c>
    </row>
    <row r="1004" spans="1:18" ht="28.5" customHeight="1" outlineLevel="2">
      <c r="A1004" s="85" t="s">
        <v>89</v>
      </c>
      <c r="B1004" s="402" t="s">
        <v>1885</v>
      </c>
      <c r="C1004" s="85" t="s">
        <v>150</v>
      </c>
      <c r="D1004" s="148" t="s">
        <v>7</v>
      </c>
      <c r="E1004" s="87">
        <v>2018</v>
      </c>
      <c r="F1004" s="88">
        <v>181</v>
      </c>
      <c r="G1004" s="120" t="s">
        <v>159</v>
      </c>
      <c r="H1004" s="581" t="s">
        <v>170</v>
      </c>
      <c r="I1004" s="601">
        <v>14000</v>
      </c>
      <c r="J1004" s="595" t="s">
        <v>9</v>
      </c>
      <c r="K1004" s="91">
        <v>1</v>
      </c>
      <c r="L1004" s="91">
        <v>10</v>
      </c>
      <c r="M1004" s="92">
        <v>86</v>
      </c>
      <c r="N1004" s="119" t="str">
        <f>VLOOKUP(M1004,'PF Uscite Sp. Corr.'!$C$1:$E$100,2,FALSE)</f>
        <v>Premi di assicurazione contro i danni</v>
      </c>
      <c r="O1004" s="131">
        <v>5300</v>
      </c>
      <c r="P1004" s="614" t="str">
        <f>VLOOKUP(O1004,'Centri di Costo'!$A$2:$B$179,2,FALSE)</f>
        <v>Approvvigionamenti Sez. Amm (ex AA.GG.LL.) - Att. Ord.</v>
      </c>
      <c r="Q1004" s="624" t="s">
        <v>2014</v>
      </c>
      <c r="R1004" s="642" t="s">
        <v>59</v>
      </c>
    </row>
    <row r="1005" spans="1:18" ht="28.5" customHeight="1" outlineLevel="2">
      <c r="A1005" s="94" t="s">
        <v>89</v>
      </c>
      <c r="B1005" s="402" t="s">
        <v>1885</v>
      </c>
      <c r="C1005" s="94" t="s">
        <v>150</v>
      </c>
      <c r="D1005" s="149" t="s">
        <v>7</v>
      </c>
      <c r="E1005" s="101">
        <v>2018</v>
      </c>
      <c r="F1005" s="102">
        <v>181</v>
      </c>
      <c r="G1005" s="121" t="s">
        <v>159</v>
      </c>
      <c r="H1005" s="580" t="s">
        <v>165</v>
      </c>
      <c r="I1005" s="600">
        <v>14000</v>
      </c>
      <c r="J1005" s="594" t="s">
        <v>9</v>
      </c>
      <c r="K1005" s="99">
        <v>1</v>
      </c>
      <c r="L1005" s="99">
        <v>10</v>
      </c>
      <c r="M1005" s="113">
        <v>87</v>
      </c>
      <c r="N1005" s="128" t="str">
        <f>VLOOKUP(M1005,'PF Uscite Sp. Corr.'!$C$1:$E$100,2,FALSE)</f>
        <v>Altri premi di assicurazione n.a.c.</v>
      </c>
      <c r="O1005" s="132">
        <v>5300</v>
      </c>
      <c r="P1005" s="613" t="str">
        <f>VLOOKUP(O1005,'Centri di Costo'!$A$2:$B$179,2,FALSE)</f>
        <v>Approvvigionamenti Sez. Amm (ex AA.GG.LL.) - Att. Ord.</v>
      </c>
      <c r="Q1005" s="624" t="s">
        <v>2014</v>
      </c>
      <c r="R1005" s="639" t="s">
        <v>166</v>
      </c>
    </row>
    <row r="1006" spans="1:18" s="139" customFormat="1" ht="28.5" customHeight="1" outlineLevel="2">
      <c r="A1006" s="115" t="s">
        <v>89</v>
      </c>
      <c r="B1006" s="404" t="s">
        <v>1885</v>
      </c>
      <c r="C1006" s="115" t="s">
        <v>150</v>
      </c>
      <c r="D1006" s="417" t="s">
        <v>7</v>
      </c>
      <c r="E1006" s="412">
        <v>2018</v>
      </c>
      <c r="F1006" s="413">
        <v>181</v>
      </c>
      <c r="G1006" s="123" t="s">
        <v>159</v>
      </c>
      <c r="H1006" s="583" t="s">
        <v>169</v>
      </c>
      <c r="I1006" s="603">
        <v>27000</v>
      </c>
      <c r="J1006" s="596" t="s">
        <v>9</v>
      </c>
      <c r="K1006" s="216">
        <v>1</v>
      </c>
      <c r="L1006" s="216">
        <v>10</v>
      </c>
      <c r="M1006" s="418">
        <v>87</v>
      </c>
      <c r="N1006" s="118" t="str">
        <f>VLOOKUP(M1006,'PF Uscite Sp. Corr.'!$C$1:$E$100,2,FALSE)</f>
        <v>Altri premi di assicurazione n.a.c.</v>
      </c>
      <c r="O1006" s="419">
        <v>5300</v>
      </c>
      <c r="P1006" s="615" t="str">
        <f>VLOOKUP(O1006,'Centri di Costo'!$A$2:$B$179,2,FALSE)</f>
        <v>Approvvigionamenti Sez. Amm (ex AA.GG.LL.) - Att. Ord.</v>
      </c>
      <c r="Q1006" s="624" t="s">
        <v>2014</v>
      </c>
      <c r="R1006" s="648" t="s">
        <v>166</v>
      </c>
    </row>
    <row r="1007" spans="1:18" s="215" customFormat="1" ht="20.25" customHeight="1" outlineLevel="1" collapsed="1">
      <c r="A1007" s="160"/>
      <c r="B1007" s="433" t="s">
        <v>1933</v>
      </c>
      <c r="C1007" s="161"/>
      <c r="D1007" s="437"/>
      <c r="E1007" s="438"/>
      <c r="F1007" s="438"/>
      <c r="G1007" s="441" t="s">
        <v>1938</v>
      </c>
      <c r="H1007" s="214" t="s">
        <v>1975</v>
      </c>
      <c r="I1007" s="605">
        <f>SUBTOTAL(9,I978:I1006)</f>
        <v>463300</v>
      </c>
      <c r="J1007" s="212"/>
      <c r="K1007" s="179"/>
      <c r="L1007" s="179"/>
      <c r="M1007" s="213"/>
      <c r="N1007" s="434"/>
      <c r="O1007" s="439"/>
      <c r="P1007" s="435"/>
      <c r="Q1007" s="620"/>
      <c r="R1007" s="645"/>
    </row>
    <row r="1008" spans="1:18" ht="40.5" customHeight="1" outlineLevel="2">
      <c r="A1008" s="94" t="s">
        <v>89</v>
      </c>
      <c r="B1008" s="402" t="s">
        <v>1886</v>
      </c>
      <c r="C1008" s="94" t="s">
        <v>150</v>
      </c>
      <c r="D1008" s="149" t="s">
        <v>7</v>
      </c>
      <c r="E1008" s="101">
        <v>2018</v>
      </c>
      <c r="F1008" s="102">
        <v>112</v>
      </c>
      <c r="G1008" s="121" t="s">
        <v>222</v>
      </c>
      <c r="H1008" s="580" t="s">
        <v>223</v>
      </c>
      <c r="I1008" s="600">
        <v>10000</v>
      </c>
      <c r="J1008" s="594" t="s">
        <v>9</v>
      </c>
      <c r="K1008" s="99">
        <v>1</v>
      </c>
      <c r="L1008" s="99">
        <v>3</v>
      </c>
      <c r="M1008" s="113">
        <v>59</v>
      </c>
      <c r="N1008" s="128" t="str">
        <f>VLOOKUP(M1008,'PF Uscite Sp. Corr.'!$C$1:$E$100,2,FALSE)</f>
        <v>Servizi informatici e di telecomunicazioni</v>
      </c>
      <c r="O1008" s="132">
        <v>5920</v>
      </c>
      <c r="P1008" s="613" t="str">
        <f>VLOOKUP(O1008,'Centri di Costo'!$A$2:$B$179,2,FALSE)</f>
        <v xml:space="preserve">Servizi Informatici - Att. Ordinaria </v>
      </c>
      <c r="Q1008" s="624" t="s">
        <v>2014</v>
      </c>
      <c r="R1008" s="639" t="s">
        <v>220</v>
      </c>
    </row>
    <row r="1009" spans="1:18" ht="40.5" customHeight="1" outlineLevel="2">
      <c r="A1009" s="85" t="s">
        <v>89</v>
      </c>
      <c r="B1009" s="402" t="s">
        <v>1886</v>
      </c>
      <c r="C1009" s="85" t="s">
        <v>150</v>
      </c>
      <c r="D1009" s="148" t="s">
        <v>7</v>
      </c>
      <c r="E1009" s="87">
        <v>2018</v>
      </c>
      <c r="F1009" s="88">
        <v>112</v>
      </c>
      <c r="G1009" s="120" t="s">
        <v>222</v>
      </c>
      <c r="H1009" s="581" t="s">
        <v>224</v>
      </c>
      <c r="I1009" s="601">
        <v>7000</v>
      </c>
      <c r="J1009" s="595" t="s">
        <v>9</v>
      </c>
      <c r="K1009" s="91">
        <v>1</v>
      </c>
      <c r="L1009" s="91">
        <v>3</v>
      </c>
      <c r="M1009" s="92">
        <v>59</v>
      </c>
      <c r="N1009" s="119" t="str">
        <f>VLOOKUP(M1009,'PF Uscite Sp. Corr.'!$C$1:$E$100,2,FALSE)</f>
        <v>Servizi informatici e di telecomunicazioni</v>
      </c>
      <c r="O1009" s="131">
        <v>5920</v>
      </c>
      <c r="P1009" s="614" t="str">
        <f>VLOOKUP(O1009,'Centri di Costo'!$A$2:$B$179,2,FALSE)</f>
        <v xml:space="preserve">Servizi Informatici - Att. Ordinaria </v>
      </c>
      <c r="Q1009" s="624" t="s">
        <v>2014</v>
      </c>
      <c r="R1009" s="642" t="s">
        <v>220</v>
      </c>
    </row>
    <row r="1010" spans="1:18" ht="40.5" customHeight="1" outlineLevel="2">
      <c r="A1010" s="85" t="s">
        <v>89</v>
      </c>
      <c r="B1010" s="402" t="s">
        <v>1886</v>
      </c>
      <c r="C1010" s="85" t="s">
        <v>150</v>
      </c>
      <c r="D1010" s="148" t="s">
        <v>7</v>
      </c>
      <c r="E1010" s="87">
        <v>2018</v>
      </c>
      <c r="F1010" s="88">
        <v>112</v>
      </c>
      <c r="G1010" s="120" t="s">
        <v>222</v>
      </c>
      <c r="H1010" s="581" t="s">
        <v>225</v>
      </c>
      <c r="I1010" s="601">
        <v>7000</v>
      </c>
      <c r="J1010" s="595" t="s">
        <v>9</v>
      </c>
      <c r="K1010" s="91">
        <v>1</v>
      </c>
      <c r="L1010" s="91">
        <v>3</v>
      </c>
      <c r="M1010" s="92">
        <v>59</v>
      </c>
      <c r="N1010" s="119" t="str">
        <f>VLOOKUP(M1010,'PF Uscite Sp. Corr.'!$C$1:$E$100,2,FALSE)</f>
        <v>Servizi informatici e di telecomunicazioni</v>
      </c>
      <c r="O1010" s="131">
        <v>5920</v>
      </c>
      <c r="P1010" s="614" t="str">
        <f>VLOOKUP(O1010,'Centri di Costo'!$A$2:$B$179,2,FALSE)</f>
        <v xml:space="preserve">Servizi Informatici - Att. Ordinaria </v>
      </c>
      <c r="Q1010" s="624" t="s">
        <v>2014</v>
      </c>
      <c r="R1010" s="642" t="s">
        <v>220</v>
      </c>
    </row>
    <row r="1011" spans="1:18" ht="40.5" customHeight="1" outlineLevel="2">
      <c r="A1011" s="85" t="s">
        <v>89</v>
      </c>
      <c r="B1011" s="402" t="s">
        <v>1886</v>
      </c>
      <c r="C1011" s="85" t="s">
        <v>150</v>
      </c>
      <c r="D1011" s="148" t="s">
        <v>7</v>
      </c>
      <c r="E1011" s="87">
        <v>2018</v>
      </c>
      <c r="F1011" s="88">
        <v>112</v>
      </c>
      <c r="G1011" s="120" t="s">
        <v>222</v>
      </c>
      <c r="H1011" s="581" t="s">
        <v>226</v>
      </c>
      <c r="I1011" s="601">
        <v>5100</v>
      </c>
      <c r="J1011" s="595" t="s">
        <v>9</v>
      </c>
      <c r="K1011" s="91">
        <v>1</v>
      </c>
      <c r="L1011" s="91">
        <v>3</v>
      </c>
      <c r="M1011" s="92">
        <v>59</v>
      </c>
      <c r="N1011" s="119" t="str">
        <f>VLOOKUP(M1011,'PF Uscite Sp. Corr.'!$C$1:$E$100,2,FALSE)</f>
        <v>Servizi informatici e di telecomunicazioni</v>
      </c>
      <c r="O1011" s="131">
        <v>5920</v>
      </c>
      <c r="P1011" s="614" t="str">
        <f>VLOOKUP(O1011,'Centri di Costo'!$A$2:$B$179,2,FALSE)</f>
        <v xml:space="preserve">Servizi Informatici - Att. Ordinaria </v>
      </c>
      <c r="Q1011" s="624" t="s">
        <v>2014</v>
      </c>
      <c r="R1011" s="642" t="s">
        <v>220</v>
      </c>
    </row>
    <row r="1012" spans="1:18" s="139" customFormat="1" ht="28.5" customHeight="1" outlineLevel="2">
      <c r="A1012" s="115" t="s">
        <v>89</v>
      </c>
      <c r="B1012" s="404" t="s">
        <v>1886</v>
      </c>
      <c r="C1012" s="115" t="s">
        <v>150</v>
      </c>
      <c r="D1012" s="417" t="s">
        <v>7</v>
      </c>
      <c r="E1012" s="412">
        <v>2018</v>
      </c>
      <c r="F1012" s="413">
        <v>134</v>
      </c>
      <c r="G1012" s="123" t="s">
        <v>227</v>
      </c>
      <c r="H1012" s="583" t="s">
        <v>1525</v>
      </c>
      <c r="I1012" s="603">
        <v>47250</v>
      </c>
      <c r="J1012" s="596" t="s">
        <v>9</v>
      </c>
      <c r="K1012" s="216">
        <v>1</v>
      </c>
      <c r="L1012" s="216">
        <v>3</v>
      </c>
      <c r="M1012" s="418">
        <v>59</v>
      </c>
      <c r="N1012" s="118" t="str">
        <f>VLOOKUP(M1012,'PF Uscite Sp. Corr.'!$C$1:$E$100,2,FALSE)</f>
        <v>Servizi informatici e di telecomunicazioni</v>
      </c>
      <c r="O1012" s="419">
        <v>5920</v>
      </c>
      <c r="P1012" s="615" t="str">
        <f>VLOOKUP(O1012,'Centri di Costo'!$A$2:$B$179,2,FALSE)</f>
        <v xml:space="preserve">Servizi Informatici - Att. Ordinaria </v>
      </c>
      <c r="Q1012" s="624" t="s">
        <v>2014</v>
      </c>
      <c r="R1012" s="648" t="s">
        <v>220</v>
      </c>
    </row>
    <row r="1013" spans="1:18" s="215" customFormat="1" ht="20.25" customHeight="1" outlineLevel="1" collapsed="1">
      <c r="A1013" s="160"/>
      <c r="B1013" s="433" t="s">
        <v>1934</v>
      </c>
      <c r="C1013" s="161"/>
      <c r="D1013" s="437"/>
      <c r="E1013" s="438"/>
      <c r="F1013" s="438"/>
      <c r="G1013" s="441" t="s">
        <v>1938</v>
      </c>
      <c r="H1013" s="214" t="s">
        <v>1976</v>
      </c>
      <c r="I1013" s="605">
        <f>SUBTOTAL(9,I1008:I1012)</f>
        <v>76350</v>
      </c>
      <c r="J1013" s="212"/>
      <c r="K1013" s="179"/>
      <c r="L1013" s="179"/>
      <c r="M1013" s="213"/>
      <c r="N1013" s="434"/>
      <c r="O1013" s="439"/>
      <c r="P1013" s="435"/>
      <c r="Q1013" s="633"/>
      <c r="R1013" s="645"/>
    </row>
    <row r="1014" spans="1:18" s="675" customFormat="1" ht="21" customHeight="1">
      <c r="A1014" s="662"/>
      <c r="B1014" s="663" t="s">
        <v>1936</v>
      </c>
      <c r="C1014" s="664"/>
      <c r="D1014" s="665"/>
      <c r="E1014" s="666"/>
      <c r="F1014" s="666"/>
      <c r="G1014" s="667"/>
      <c r="H1014" s="668" t="s">
        <v>2034</v>
      </c>
      <c r="I1014" s="669">
        <f>SUBTOTAL(9,I4:I1013)</f>
        <v>17606468</v>
      </c>
      <c r="J1014" s="670"/>
      <c r="K1014" s="671"/>
      <c r="L1014" s="671"/>
      <c r="M1014" s="671"/>
      <c r="N1014" s="668"/>
      <c r="O1014" s="672"/>
      <c r="P1014" s="673"/>
      <c r="Q1014" s="674"/>
      <c r="R1014" s="660"/>
    </row>
    <row r="1015" ht="12.75">
      <c r="F1015" s="133"/>
    </row>
    <row r="1017" ht="13.5" thickBot="1">
      <c r="F1017" s="258"/>
    </row>
    <row r="1018" spans="1:18" s="534" customFormat="1" ht="13.5" thickBot="1">
      <c r="A1018" s="394"/>
      <c r="B1018" s="406"/>
      <c r="C1018" s="259"/>
      <c r="D1018" s="261"/>
      <c r="E1018" s="260"/>
      <c r="F1018" s="262"/>
      <c r="G1018" s="263">
        <f>17520368+86100</f>
        <v>17606468</v>
      </c>
      <c r="H1018" s="533" t="s">
        <v>1636</v>
      </c>
      <c r="I1018" s="612">
        <f>SUBTOTAL(9,I4:I1013)</f>
        <v>17606468</v>
      </c>
      <c r="J1018" s="264"/>
      <c r="K1018" s="265"/>
      <c r="L1018" s="265"/>
      <c r="M1018" s="265"/>
      <c r="N1018" s="266"/>
      <c r="O1018" s="267"/>
      <c r="P1018" s="268"/>
      <c r="Q1018" s="635"/>
      <c r="R1018" s="661"/>
    </row>
    <row r="1019" ht="12.75">
      <c r="F1019" s="133"/>
    </row>
  </sheetData>
  <autoFilter ref="A2:Q1013"/>
  <printOptions/>
  <pageMargins left="0.4330708661417323" right="0.31496062992125984" top="0.7086614173228347" bottom="0.3937007874015748" header="0.2755905511811024" footer="0.15748031496062992"/>
  <pageSetup horizontalDpi="600" verticalDpi="600" orientation="landscape" paperSize="8" scale="90" r:id="rId3"/>
  <headerFooter alignWithMargins="0">
    <oddHeader>&amp;CPEG 2018 - Attività Ordinaria
&amp;A</oddHead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C160"/>
  <sheetViews>
    <sheetView workbookViewId="0" topLeftCell="A40">
      <selection activeCell="A1" sqref="A1:XFD159"/>
    </sheetView>
  </sheetViews>
  <sheetFormatPr defaultColWidth="9.140625" defaultRowHeight="12.75" outlineLevelRow="2"/>
  <cols>
    <col min="1" max="1" width="13.57421875" style="77" customWidth="1"/>
    <col min="2" max="2" width="13.140625" style="77" customWidth="1"/>
    <col min="3" max="3" width="7.8515625" style="186" customWidth="1"/>
    <col min="4" max="4" width="30.8515625" style="2" customWidth="1"/>
    <col min="5" max="5" width="6.8515625" style="183" customWidth="1"/>
    <col min="6" max="6" width="13.8515625" style="3" customWidth="1"/>
    <col min="7" max="7" width="8.00390625" style="82" customWidth="1"/>
    <col min="8" max="8" width="6.421875" style="83" customWidth="1"/>
    <col min="9" max="9" width="6.00390625" style="83" customWidth="1"/>
    <col min="10" max="10" width="7.57421875" style="83" customWidth="1"/>
    <col min="11" max="11" width="38.140625" style="75" customWidth="1"/>
    <col min="12" max="12" width="8.00390625" style="130" customWidth="1"/>
    <col min="13" max="13" width="30.28125" style="166" customWidth="1"/>
    <col min="14" max="14" width="13.421875" style="96" customWidth="1"/>
    <col min="15" max="16384" width="9.140625" style="2" customWidth="1"/>
  </cols>
  <sheetData>
    <row r="1" spans="1:14" s="176" customFormat="1" ht="26.25" customHeight="1" outlineLevel="1">
      <c r="A1" s="175"/>
      <c r="B1" s="175"/>
      <c r="C1" s="200"/>
      <c r="D1" s="193" t="s">
        <v>1626</v>
      </c>
      <c r="E1" s="201"/>
      <c r="F1" s="202"/>
      <c r="G1" s="135"/>
      <c r="H1" s="136"/>
      <c r="I1" s="136"/>
      <c r="J1" s="203"/>
      <c r="L1" s="541"/>
      <c r="M1" s="569"/>
      <c r="N1" s="204"/>
    </row>
    <row r="2" spans="1:14" s="205" customFormat="1" ht="13.5" customHeight="1">
      <c r="A2" s="547" t="s">
        <v>0</v>
      </c>
      <c r="B2" s="547" t="s">
        <v>1</v>
      </c>
      <c r="C2" s="548" t="s">
        <v>1072</v>
      </c>
      <c r="D2" s="547" t="s">
        <v>1606</v>
      </c>
      <c r="E2" s="549" t="s">
        <v>1607</v>
      </c>
      <c r="F2" s="550" t="s">
        <v>1075</v>
      </c>
      <c r="G2" s="547" t="s">
        <v>1555</v>
      </c>
      <c r="H2" s="547" t="s">
        <v>3</v>
      </c>
      <c r="I2" s="547" t="s">
        <v>4</v>
      </c>
      <c r="J2" s="547" t="s">
        <v>1076</v>
      </c>
      <c r="K2" s="547" t="s">
        <v>1110</v>
      </c>
      <c r="L2" s="551" t="s">
        <v>1553</v>
      </c>
      <c r="M2" s="563" t="s">
        <v>1111</v>
      </c>
      <c r="N2" s="552" t="s">
        <v>1556</v>
      </c>
    </row>
    <row r="3" spans="1:14" ht="13.5" customHeight="1">
      <c r="A3" s="744" t="s">
        <v>588</v>
      </c>
      <c r="B3" s="750" t="s">
        <v>894</v>
      </c>
      <c r="C3" s="752">
        <v>2018</v>
      </c>
      <c r="D3" s="64"/>
      <c r="E3" s="764">
        <v>2</v>
      </c>
      <c r="F3" s="104">
        <v>45700</v>
      </c>
      <c r="G3" s="98" t="s">
        <v>9</v>
      </c>
      <c r="H3" s="99">
        <v>1</v>
      </c>
      <c r="I3" s="99">
        <v>1</v>
      </c>
      <c r="J3" s="206" t="s">
        <v>1026</v>
      </c>
      <c r="K3" s="128" t="str">
        <f>VLOOKUP(J3,'PF Uscite Sp. Corr.'!$C$1:$E$100,2,FALSE)</f>
        <v>Retribuzioni in denaro O.T.I.</v>
      </c>
      <c r="L3" s="132">
        <v>1118</v>
      </c>
      <c r="M3" s="169" t="s">
        <v>1129</v>
      </c>
      <c r="N3" s="567" t="s">
        <v>2024</v>
      </c>
    </row>
    <row r="4" spans="1:14" ht="13.5" customHeight="1">
      <c r="A4" s="744"/>
      <c r="B4" s="750"/>
      <c r="C4" s="752"/>
      <c r="D4" s="138"/>
      <c r="E4" s="765"/>
      <c r="F4" s="207">
        <v>18000</v>
      </c>
      <c r="G4" s="98" t="s">
        <v>9</v>
      </c>
      <c r="H4" s="99">
        <v>1</v>
      </c>
      <c r="I4" s="99">
        <v>1</v>
      </c>
      <c r="J4" s="206" t="s">
        <v>1321</v>
      </c>
      <c r="K4" s="119" t="str">
        <f>VLOOKUP(J4,'PF Uscite Sp. Corr.'!$C$1:$E$100,2,FALSE)</f>
        <v>Contributi sociali a carico dell'ente per OTI</v>
      </c>
      <c r="L4" s="132">
        <v>1118</v>
      </c>
      <c r="M4" s="169" t="s">
        <v>1129</v>
      </c>
      <c r="N4" s="567" t="s">
        <v>2024</v>
      </c>
    </row>
    <row r="5" spans="1:14" ht="13.5" customHeight="1">
      <c r="A5" s="744"/>
      <c r="B5" s="750"/>
      <c r="C5" s="752"/>
      <c r="D5" s="4" t="s">
        <v>1612</v>
      </c>
      <c r="E5" s="765"/>
      <c r="F5" s="207">
        <v>3100</v>
      </c>
      <c r="G5" s="98" t="s">
        <v>9</v>
      </c>
      <c r="H5" s="99">
        <v>1</v>
      </c>
      <c r="I5" s="99">
        <v>1</v>
      </c>
      <c r="J5" s="206" t="s">
        <v>1372</v>
      </c>
      <c r="K5" s="119" t="str">
        <f>VLOOKUP(J5,'PF Uscite Sp. Corr.'!$C$1:$E$100,2,FALSE)</f>
        <v>Contributi indennità fine rapporto OTI</v>
      </c>
      <c r="L5" s="132">
        <v>1118</v>
      </c>
      <c r="M5" s="169" t="s">
        <v>1129</v>
      </c>
      <c r="N5" s="567" t="s">
        <v>2024</v>
      </c>
    </row>
    <row r="6" spans="1:14" ht="13.5" customHeight="1" outlineLevel="2">
      <c r="A6" s="744"/>
      <c r="B6" s="750"/>
      <c r="C6" s="752"/>
      <c r="D6" s="184" t="s">
        <v>1633</v>
      </c>
      <c r="E6" s="765"/>
      <c r="F6" s="145">
        <v>3200</v>
      </c>
      <c r="G6" s="98" t="s">
        <v>9</v>
      </c>
      <c r="H6" s="99">
        <v>1</v>
      </c>
      <c r="I6" s="99">
        <v>1</v>
      </c>
      <c r="J6" s="209">
        <v>10</v>
      </c>
      <c r="K6" s="119" t="str">
        <f>VLOOKUP(J6,'PF Uscite Sp. Corr.'!$C$1:$E$100,2,FALSE)</f>
        <v>Buoni Pasto Operai</v>
      </c>
      <c r="L6" s="132">
        <v>1118</v>
      </c>
      <c r="M6" s="169" t="s">
        <v>1129</v>
      </c>
      <c r="N6" s="123" t="s">
        <v>2023</v>
      </c>
    </row>
    <row r="7" spans="1:14" ht="13.5" customHeight="1" outlineLevel="2">
      <c r="A7" s="745"/>
      <c r="B7" s="751"/>
      <c r="C7" s="753"/>
      <c r="D7" s="142"/>
      <c r="E7" s="766"/>
      <c r="F7" s="144">
        <v>0</v>
      </c>
      <c r="G7" s="98" t="s">
        <v>9</v>
      </c>
      <c r="H7" s="99">
        <v>1</v>
      </c>
      <c r="I7" s="99">
        <v>2</v>
      </c>
      <c r="J7" s="209">
        <v>11</v>
      </c>
      <c r="K7" s="119" t="str">
        <f>VLOOKUP(J7,'PF Uscite Sp. Corr.'!$C$1:$E$100,2,FALSE)</f>
        <v>Imposta regionale sulle attività produttive (IRAP)</v>
      </c>
      <c r="L7" s="132">
        <v>1118</v>
      </c>
      <c r="M7" s="169" t="s">
        <v>1129</v>
      </c>
      <c r="N7" s="567" t="s">
        <v>2024</v>
      </c>
    </row>
    <row r="8" spans="1:14" s="215" customFormat="1" ht="13.5" customHeight="1" outlineLevel="1">
      <c r="A8" s="160"/>
      <c r="B8" s="161"/>
      <c r="C8" s="210"/>
      <c r="D8" s="441" t="s">
        <v>1938</v>
      </c>
      <c r="E8" s="195"/>
      <c r="F8" s="211">
        <f>SUBTOTAL(9,F3:F7)</f>
        <v>70000</v>
      </c>
      <c r="G8" s="212"/>
      <c r="H8" s="179"/>
      <c r="I8" s="179"/>
      <c r="J8" s="213"/>
      <c r="K8" s="162"/>
      <c r="L8" s="542" t="s">
        <v>1591</v>
      </c>
      <c r="M8" s="435"/>
      <c r="N8" s="214"/>
    </row>
    <row r="9" spans="1:14" ht="13.5" customHeight="1" outlineLevel="2">
      <c r="A9" s="743" t="s">
        <v>588</v>
      </c>
      <c r="B9" s="749" t="s">
        <v>894</v>
      </c>
      <c r="C9" s="754">
        <v>2018</v>
      </c>
      <c r="D9" s="64"/>
      <c r="E9" s="767">
        <v>3</v>
      </c>
      <c r="F9" s="104">
        <f>62400+7000</f>
        <v>69400</v>
      </c>
      <c r="G9" s="98" t="s">
        <v>9</v>
      </c>
      <c r="H9" s="99">
        <v>1</v>
      </c>
      <c r="I9" s="99">
        <v>1</v>
      </c>
      <c r="J9" s="206" t="s">
        <v>1026</v>
      </c>
      <c r="K9" s="119" t="str">
        <f>VLOOKUP(J9,'PF Uscite Sp. Corr.'!$C$1:$E$100,2,FALSE)</f>
        <v>Retribuzioni in denaro O.T.I.</v>
      </c>
      <c r="L9" s="132">
        <v>1128</v>
      </c>
      <c r="M9" s="169" t="s">
        <v>1138</v>
      </c>
      <c r="N9" s="567" t="s">
        <v>2024</v>
      </c>
    </row>
    <row r="10" spans="1:14" ht="13.5" customHeight="1" outlineLevel="2">
      <c r="A10" s="744"/>
      <c r="B10" s="750"/>
      <c r="C10" s="752"/>
      <c r="D10" s="138"/>
      <c r="E10" s="768"/>
      <c r="F10" s="207">
        <v>28000</v>
      </c>
      <c r="G10" s="98" t="s">
        <v>9</v>
      </c>
      <c r="H10" s="99">
        <v>1</v>
      </c>
      <c r="I10" s="99">
        <v>1</v>
      </c>
      <c r="J10" s="206" t="s">
        <v>1321</v>
      </c>
      <c r="K10" s="119" t="str">
        <f>VLOOKUP(J10,'PF Uscite Sp. Corr.'!$C$1:$E$100,2,FALSE)</f>
        <v>Contributi sociali a carico dell'ente per OTI</v>
      </c>
      <c r="L10" s="132">
        <v>1128</v>
      </c>
      <c r="M10" s="169" t="s">
        <v>1138</v>
      </c>
      <c r="N10" s="567" t="s">
        <v>2024</v>
      </c>
    </row>
    <row r="11" spans="1:14" ht="13.5" customHeight="1" outlineLevel="2">
      <c r="A11" s="744"/>
      <c r="B11" s="750"/>
      <c r="C11" s="752"/>
      <c r="D11" s="4" t="s">
        <v>1613</v>
      </c>
      <c r="E11" s="768"/>
      <c r="F11" s="207">
        <v>4200</v>
      </c>
      <c r="G11" s="98" t="s">
        <v>9</v>
      </c>
      <c r="H11" s="99">
        <v>1</v>
      </c>
      <c r="I11" s="99">
        <v>1</v>
      </c>
      <c r="J11" s="206" t="s">
        <v>1372</v>
      </c>
      <c r="K11" s="119" t="str">
        <f>VLOOKUP(J11,'PF Uscite Sp. Corr.'!$C$1:$E$100,2,FALSE)</f>
        <v>Contributi indennità fine rapporto OTI</v>
      </c>
      <c r="L11" s="132">
        <v>1128</v>
      </c>
      <c r="M11" s="169" t="s">
        <v>1138</v>
      </c>
      <c r="N11" s="567" t="s">
        <v>2024</v>
      </c>
    </row>
    <row r="12" spans="1:14" ht="13.5" customHeight="1" outlineLevel="2">
      <c r="A12" s="744"/>
      <c r="B12" s="750"/>
      <c r="C12" s="752"/>
      <c r="D12" s="184" t="s">
        <v>1633</v>
      </c>
      <c r="E12" s="768"/>
      <c r="F12" s="145">
        <v>4400</v>
      </c>
      <c r="G12" s="98" t="s">
        <v>9</v>
      </c>
      <c r="H12" s="99">
        <v>1</v>
      </c>
      <c r="I12" s="99">
        <v>1</v>
      </c>
      <c r="J12" s="209">
        <v>10</v>
      </c>
      <c r="K12" s="119" t="str">
        <f>VLOOKUP(J12,'PF Uscite Sp. Corr.'!$C$1:$E$100,2,FALSE)</f>
        <v>Buoni Pasto Operai</v>
      </c>
      <c r="L12" s="132">
        <v>1128</v>
      </c>
      <c r="M12" s="169" t="s">
        <v>1138</v>
      </c>
      <c r="N12" s="123" t="s">
        <v>2023</v>
      </c>
    </row>
    <row r="13" spans="1:14" ht="13.5" customHeight="1" outlineLevel="2">
      <c r="A13" s="745"/>
      <c r="B13" s="751"/>
      <c r="C13" s="753"/>
      <c r="D13" s="142"/>
      <c r="E13" s="769"/>
      <c r="F13" s="144">
        <v>0</v>
      </c>
      <c r="G13" s="98" t="s">
        <v>9</v>
      </c>
      <c r="H13" s="99">
        <v>1</v>
      </c>
      <c r="I13" s="99">
        <v>2</v>
      </c>
      <c r="J13" s="209">
        <v>11</v>
      </c>
      <c r="K13" s="119" t="str">
        <f>VLOOKUP(J13,'PF Uscite Sp. Corr.'!$C$1:$E$100,2,FALSE)</f>
        <v>Imposta regionale sulle attività produttive (IRAP)</v>
      </c>
      <c r="L13" s="132">
        <v>1128</v>
      </c>
      <c r="M13" s="169" t="s">
        <v>1138</v>
      </c>
      <c r="N13" s="567" t="s">
        <v>2024</v>
      </c>
    </row>
    <row r="14" spans="1:14" s="215" customFormat="1" ht="13.5" customHeight="1" outlineLevel="1">
      <c r="A14" s="160"/>
      <c r="B14" s="161"/>
      <c r="C14" s="210"/>
      <c r="D14" s="441" t="s">
        <v>1938</v>
      </c>
      <c r="E14" s="195"/>
      <c r="F14" s="211">
        <f>SUBTOTAL(9,F9:F13)</f>
        <v>106000</v>
      </c>
      <c r="G14" s="212"/>
      <c r="H14" s="179"/>
      <c r="I14" s="179"/>
      <c r="J14" s="213"/>
      <c r="K14" s="162"/>
      <c r="L14" s="439" t="s">
        <v>1592</v>
      </c>
      <c r="M14" s="435"/>
      <c r="N14" s="214"/>
    </row>
    <row r="15" spans="1:14" ht="13.5" customHeight="1" outlineLevel="2">
      <c r="A15" s="743" t="s">
        <v>588</v>
      </c>
      <c r="B15" s="749" t="s">
        <v>894</v>
      </c>
      <c r="C15" s="754">
        <v>2018</v>
      </c>
      <c r="D15" s="64"/>
      <c r="E15" s="770">
        <v>4</v>
      </c>
      <c r="F15" s="104">
        <f>67200+2800</f>
        <v>70000</v>
      </c>
      <c r="G15" s="98" t="s">
        <v>9</v>
      </c>
      <c r="H15" s="99">
        <v>1</v>
      </c>
      <c r="I15" s="99">
        <v>1</v>
      </c>
      <c r="J15" s="206" t="s">
        <v>1026</v>
      </c>
      <c r="K15" s="119" t="str">
        <f>VLOOKUP(J15,'PF Uscite Sp. Corr.'!$C$1:$E$100,2,FALSE)</f>
        <v>Retribuzioni in denaro O.T.I.</v>
      </c>
      <c r="L15" s="132">
        <v>1138</v>
      </c>
      <c r="M15" s="169" t="s">
        <v>1145</v>
      </c>
      <c r="N15" s="567" t="s">
        <v>2024</v>
      </c>
    </row>
    <row r="16" spans="1:14" ht="13.5" customHeight="1" outlineLevel="2">
      <c r="A16" s="744"/>
      <c r="B16" s="750"/>
      <c r="C16" s="752"/>
      <c r="E16" s="771"/>
      <c r="F16" s="207">
        <v>26100</v>
      </c>
      <c r="G16" s="98" t="s">
        <v>9</v>
      </c>
      <c r="H16" s="99">
        <v>1</v>
      </c>
      <c r="I16" s="99">
        <v>1</v>
      </c>
      <c r="J16" s="206" t="s">
        <v>1321</v>
      </c>
      <c r="K16" s="119" t="str">
        <f>VLOOKUP(J16,'PF Uscite Sp. Corr.'!$C$1:$E$100,2,FALSE)</f>
        <v>Contributi sociali a carico dell'ente per OTI</v>
      </c>
      <c r="L16" s="132">
        <v>1138</v>
      </c>
      <c r="M16" s="169" t="s">
        <v>1145</v>
      </c>
      <c r="N16" s="567" t="s">
        <v>2024</v>
      </c>
    </row>
    <row r="17" spans="1:14" ht="13.5" customHeight="1" outlineLevel="2">
      <c r="A17" s="744"/>
      <c r="B17" s="750"/>
      <c r="C17" s="752"/>
      <c r="D17" s="4" t="s">
        <v>1621</v>
      </c>
      <c r="E17" s="771"/>
      <c r="F17" s="207">
        <v>6700</v>
      </c>
      <c r="G17" s="98" t="s">
        <v>9</v>
      </c>
      <c r="H17" s="99">
        <v>1</v>
      </c>
      <c r="I17" s="99">
        <v>1</v>
      </c>
      <c r="J17" s="206" t="s">
        <v>1372</v>
      </c>
      <c r="K17" s="119" t="str">
        <f>VLOOKUP(J17,'PF Uscite Sp. Corr.'!$C$1:$E$100,2,FALSE)</f>
        <v>Contributi indennità fine rapporto OTI</v>
      </c>
      <c r="L17" s="132">
        <v>1138</v>
      </c>
      <c r="M17" s="169" t="s">
        <v>1145</v>
      </c>
      <c r="N17" s="567" t="s">
        <v>2024</v>
      </c>
    </row>
    <row r="18" spans="1:14" ht="13.5" customHeight="1" outlineLevel="2">
      <c r="A18" s="744"/>
      <c r="B18" s="750"/>
      <c r="C18" s="752"/>
      <c r="D18" s="184" t="s">
        <v>1633</v>
      </c>
      <c r="E18" s="771"/>
      <c r="F18" s="145">
        <v>4200</v>
      </c>
      <c r="G18" s="98" t="s">
        <v>9</v>
      </c>
      <c r="H18" s="99">
        <v>1</v>
      </c>
      <c r="I18" s="99">
        <v>1</v>
      </c>
      <c r="J18" s="209">
        <v>10</v>
      </c>
      <c r="K18" s="119" t="str">
        <f>VLOOKUP(J18,'PF Uscite Sp. Corr.'!$C$1:$E$100,2,FALSE)</f>
        <v>Buoni Pasto Operai</v>
      </c>
      <c r="L18" s="132">
        <v>1138</v>
      </c>
      <c r="M18" s="169" t="s">
        <v>1145</v>
      </c>
      <c r="N18" s="123" t="s">
        <v>2023</v>
      </c>
    </row>
    <row r="19" spans="1:14" ht="13.5" customHeight="1" outlineLevel="2">
      <c r="A19" s="745"/>
      <c r="B19" s="751"/>
      <c r="C19" s="753"/>
      <c r="D19" s="199" t="s">
        <v>1627</v>
      </c>
      <c r="E19" s="772"/>
      <c r="F19" s="144">
        <v>0</v>
      </c>
      <c r="G19" s="98" t="s">
        <v>9</v>
      </c>
      <c r="H19" s="99">
        <v>1</v>
      </c>
      <c r="I19" s="99">
        <v>2</v>
      </c>
      <c r="J19" s="209">
        <v>11</v>
      </c>
      <c r="K19" s="119" t="str">
        <f>VLOOKUP(J19,'PF Uscite Sp. Corr.'!$C$1:$E$100,2,FALSE)</f>
        <v>Imposta regionale sulle attività produttive (IRAP)</v>
      </c>
      <c r="L19" s="395">
        <v>1138</v>
      </c>
      <c r="M19" s="169" t="s">
        <v>1145</v>
      </c>
      <c r="N19" s="567" t="s">
        <v>2024</v>
      </c>
    </row>
    <row r="20" spans="1:14" s="215" customFormat="1" ht="13.5" customHeight="1" outlineLevel="1">
      <c r="A20" s="160"/>
      <c r="B20" s="161"/>
      <c r="C20" s="210"/>
      <c r="D20" s="441" t="s">
        <v>1938</v>
      </c>
      <c r="E20" s="195"/>
      <c r="F20" s="211">
        <f>SUBTOTAL(9,F15:F19)</f>
        <v>107000</v>
      </c>
      <c r="G20" s="212"/>
      <c r="H20" s="179"/>
      <c r="I20" s="179"/>
      <c r="J20" s="213"/>
      <c r="K20" s="162"/>
      <c r="L20" s="439" t="s">
        <v>1593</v>
      </c>
      <c r="M20" s="435"/>
      <c r="N20" s="214"/>
    </row>
    <row r="21" spans="1:14" ht="13.5" customHeight="1" outlineLevel="2">
      <c r="A21" s="743" t="s">
        <v>588</v>
      </c>
      <c r="B21" s="749" t="s">
        <v>894</v>
      </c>
      <c r="C21" s="754">
        <v>2018</v>
      </c>
      <c r="D21" s="138"/>
      <c r="E21" s="767">
        <v>1</v>
      </c>
      <c r="F21" s="3">
        <f>24000+3000</f>
        <v>27000</v>
      </c>
      <c r="G21" s="98" t="s">
        <v>9</v>
      </c>
      <c r="H21" s="99">
        <v>1</v>
      </c>
      <c r="I21" s="99">
        <v>1</v>
      </c>
      <c r="J21" s="206" t="s">
        <v>1026</v>
      </c>
      <c r="K21" s="119" t="str">
        <f>VLOOKUP(J21,'PF Uscite Sp. Corr.'!$C$1:$E$100,2,FALSE)</f>
        <v>Retribuzioni in denaro O.T.I.</v>
      </c>
      <c r="L21" s="424">
        <v>1148</v>
      </c>
      <c r="M21" s="416" t="s">
        <v>1150</v>
      </c>
      <c r="N21" s="567" t="s">
        <v>2024</v>
      </c>
    </row>
    <row r="22" spans="1:14" ht="13.5" customHeight="1" outlineLevel="2">
      <c r="A22" s="744"/>
      <c r="B22" s="750"/>
      <c r="C22" s="752"/>
      <c r="D22" s="142"/>
      <c r="E22" s="768"/>
      <c r="F22" s="144">
        <v>2900</v>
      </c>
      <c r="G22" s="98" t="s">
        <v>9</v>
      </c>
      <c r="H22" s="99">
        <v>1</v>
      </c>
      <c r="I22" s="99">
        <v>1</v>
      </c>
      <c r="J22" s="206" t="s">
        <v>1321</v>
      </c>
      <c r="K22" s="119" t="str">
        <f>VLOOKUP(J22,'PF Uscite Sp. Corr.'!$C$1:$E$100,2,FALSE)</f>
        <v>Contributi sociali a carico dell'ente per OTI</v>
      </c>
      <c r="L22" s="424">
        <v>1148</v>
      </c>
      <c r="M22" s="416" t="s">
        <v>1150</v>
      </c>
      <c r="N22" s="567" t="s">
        <v>2024</v>
      </c>
    </row>
    <row r="23" spans="1:14" ht="13.5" customHeight="1" outlineLevel="2">
      <c r="A23" s="744"/>
      <c r="B23" s="750"/>
      <c r="C23" s="752"/>
      <c r="D23" s="156" t="s">
        <v>1614</v>
      </c>
      <c r="E23" s="768"/>
      <c r="F23" s="144">
        <v>1500</v>
      </c>
      <c r="G23" s="98" t="s">
        <v>9</v>
      </c>
      <c r="H23" s="99">
        <v>1</v>
      </c>
      <c r="I23" s="99">
        <v>1</v>
      </c>
      <c r="J23" s="206" t="s">
        <v>1372</v>
      </c>
      <c r="K23" s="119" t="str">
        <f>VLOOKUP(J23,'PF Uscite Sp. Corr.'!$C$1:$E$100,2,FALSE)</f>
        <v>Contributi indennità fine rapporto OTI</v>
      </c>
      <c r="L23" s="424">
        <v>1148</v>
      </c>
      <c r="M23" s="416" t="s">
        <v>1150</v>
      </c>
      <c r="N23" s="567" t="s">
        <v>2024</v>
      </c>
    </row>
    <row r="24" spans="1:14" ht="13.5" customHeight="1" outlineLevel="2">
      <c r="A24" s="744"/>
      <c r="B24" s="750"/>
      <c r="C24" s="752"/>
      <c r="D24" s="184" t="s">
        <v>1633</v>
      </c>
      <c r="E24" s="768"/>
      <c r="F24" s="144">
        <v>1600</v>
      </c>
      <c r="G24" s="98" t="s">
        <v>9</v>
      </c>
      <c r="H24" s="99">
        <v>1</v>
      </c>
      <c r="I24" s="99">
        <v>1</v>
      </c>
      <c r="J24" s="209">
        <v>10</v>
      </c>
      <c r="K24" s="119" t="str">
        <f>VLOOKUP(J24,'PF Uscite Sp. Corr.'!$C$1:$E$100,2,FALSE)</f>
        <v>Buoni Pasto Operai</v>
      </c>
      <c r="L24" s="424">
        <v>1148</v>
      </c>
      <c r="M24" s="416" t="s">
        <v>1150</v>
      </c>
      <c r="N24" s="123" t="s">
        <v>2023</v>
      </c>
    </row>
    <row r="25" spans="1:14" ht="13.5" customHeight="1" outlineLevel="2">
      <c r="A25" s="745"/>
      <c r="B25" s="751"/>
      <c r="C25" s="753"/>
      <c r="D25" s="142"/>
      <c r="E25" s="769"/>
      <c r="F25" s="144">
        <v>0</v>
      </c>
      <c r="G25" s="98" t="s">
        <v>9</v>
      </c>
      <c r="H25" s="99">
        <v>1</v>
      </c>
      <c r="I25" s="99">
        <v>2</v>
      </c>
      <c r="J25" s="209">
        <v>11</v>
      </c>
      <c r="K25" s="119" t="str">
        <f>VLOOKUP(J25,'PF Uscite Sp. Corr.'!$C$1:$E$100,2,FALSE)</f>
        <v>Imposta regionale sulle attività produttive (IRAP)</v>
      </c>
      <c r="L25" s="424">
        <v>1148</v>
      </c>
      <c r="M25" s="416" t="s">
        <v>1150</v>
      </c>
      <c r="N25" s="567" t="s">
        <v>2024</v>
      </c>
    </row>
    <row r="26" spans="1:14" s="215" customFormat="1" ht="13.5" customHeight="1" outlineLevel="1">
      <c r="A26" s="160"/>
      <c r="B26" s="161"/>
      <c r="C26" s="210"/>
      <c r="D26" s="441" t="s">
        <v>1938</v>
      </c>
      <c r="E26" s="195"/>
      <c r="F26" s="211">
        <f>SUBTOTAL(9,F21:F25)</f>
        <v>33000</v>
      </c>
      <c r="G26" s="212"/>
      <c r="H26" s="179"/>
      <c r="I26" s="179"/>
      <c r="J26" s="213"/>
      <c r="K26" s="162"/>
      <c r="L26" s="439" t="s">
        <v>1594</v>
      </c>
      <c r="M26" s="435"/>
      <c r="N26" s="214"/>
    </row>
    <row r="27" spans="1:14" ht="13.5" customHeight="1" outlineLevel="2">
      <c r="A27" s="743" t="s">
        <v>588</v>
      </c>
      <c r="B27" s="749" t="s">
        <v>894</v>
      </c>
      <c r="C27" s="754">
        <v>2018</v>
      </c>
      <c r="D27" s="64"/>
      <c r="E27" s="773">
        <v>8</v>
      </c>
      <c r="F27" s="145">
        <f>160000+1500</f>
        <v>161500</v>
      </c>
      <c r="G27" s="98" t="s">
        <v>9</v>
      </c>
      <c r="H27" s="99">
        <v>1</v>
      </c>
      <c r="I27" s="99">
        <v>1</v>
      </c>
      <c r="J27" s="206" t="s">
        <v>1026</v>
      </c>
      <c r="K27" s="119" t="str">
        <f>VLOOKUP(J27,'PF Uscite Sp. Corr.'!$C$1:$E$100,2,FALSE)</f>
        <v>Retribuzioni in denaro O.T.I.</v>
      </c>
      <c r="L27" s="132">
        <v>1410</v>
      </c>
      <c r="M27" s="169" t="s">
        <v>1160</v>
      </c>
      <c r="N27" s="567" t="s">
        <v>2024</v>
      </c>
    </row>
    <row r="28" spans="1:14" ht="13.5" customHeight="1" outlineLevel="2">
      <c r="A28" s="744"/>
      <c r="B28" s="750"/>
      <c r="C28" s="752"/>
      <c r="D28" s="758" t="s">
        <v>1622</v>
      </c>
      <c r="E28" s="765"/>
      <c r="F28" s="3">
        <v>65000</v>
      </c>
      <c r="G28" s="98" t="s">
        <v>9</v>
      </c>
      <c r="H28" s="99">
        <v>1</v>
      </c>
      <c r="I28" s="99">
        <v>1</v>
      </c>
      <c r="J28" s="206" t="s">
        <v>1321</v>
      </c>
      <c r="K28" s="119" t="str">
        <f>VLOOKUP(J28,'PF Uscite Sp. Corr.'!$C$1:$E$100,2,FALSE)</f>
        <v>Contributi sociali a carico dell'ente per OTI</v>
      </c>
      <c r="L28" s="419">
        <v>1410</v>
      </c>
      <c r="M28" s="168" t="s">
        <v>1160</v>
      </c>
      <c r="N28" s="567" t="s">
        <v>2024</v>
      </c>
    </row>
    <row r="29" spans="1:14" ht="13.5" customHeight="1" outlineLevel="2">
      <c r="A29" s="744"/>
      <c r="B29" s="750"/>
      <c r="C29" s="752"/>
      <c r="D29" s="759"/>
      <c r="E29" s="765"/>
      <c r="F29" s="144">
        <v>14000</v>
      </c>
      <c r="G29" s="98" t="s">
        <v>9</v>
      </c>
      <c r="H29" s="99">
        <v>1</v>
      </c>
      <c r="I29" s="99">
        <v>1</v>
      </c>
      <c r="J29" s="206" t="s">
        <v>1372</v>
      </c>
      <c r="K29" s="119" t="str">
        <f>VLOOKUP(J29,'PF Uscite Sp. Corr.'!$C$1:$E$100,2,FALSE)</f>
        <v>Contributi indennità fine rapporto OTI</v>
      </c>
      <c r="L29" s="419">
        <v>1410</v>
      </c>
      <c r="M29" s="168" t="s">
        <v>1160</v>
      </c>
      <c r="N29" s="567" t="s">
        <v>2024</v>
      </c>
    </row>
    <row r="30" spans="1:14" ht="13.5" customHeight="1" outlineLevel="2">
      <c r="A30" s="744"/>
      <c r="B30" s="750"/>
      <c r="C30" s="752"/>
      <c r="D30" s="184" t="s">
        <v>1633</v>
      </c>
      <c r="E30" s="765"/>
      <c r="F30" s="144">
        <v>10000</v>
      </c>
      <c r="G30" s="98" t="s">
        <v>9</v>
      </c>
      <c r="H30" s="99">
        <v>1</v>
      </c>
      <c r="I30" s="99">
        <v>1</v>
      </c>
      <c r="J30" s="209">
        <v>10</v>
      </c>
      <c r="K30" s="119" t="str">
        <f>VLOOKUP(J30,'PF Uscite Sp. Corr.'!$C$1:$E$100,2,FALSE)</f>
        <v>Buoni Pasto Operai</v>
      </c>
      <c r="L30" s="419">
        <v>1410</v>
      </c>
      <c r="M30" s="168" t="s">
        <v>1160</v>
      </c>
      <c r="N30" s="123" t="s">
        <v>2023</v>
      </c>
    </row>
    <row r="31" spans="1:14" ht="13.5" customHeight="1" outlineLevel="2">
      <c r="A31" s="745"/>
      <c r="B31" s="751"/>
      <c r="C31" s="753"/>
      <c r="D31" s="199" t="s">
        <v>1628</v>
      </c>
      <c r="E31" s="766"/>
      <c r="F31" s="104">
        <v>14200</v>
      </c>
      <c r="G31" s="98" t="s">
        <v>9</v>
      </c>
      <c r="H31" s="99">
        <v>1</v>
      </c>
      <c r="I31" s="99">
        <v>2</v>
      </c>
      <c r="J31" s="209">
        <v>11</v>
      </c>
      <c r="K31" s="119" t="str">
        <f>VLOOKUP(J31,'PF Uscite Sp. Corr.'!$C$1:$E$100,2,FALSE)</f>
        <v>Imposta regionale sulle attività produttive (IRAP)</v>
      </c>
      <c r="L31" s="419">
        <v>1410</v>
      </c>
      <c r="M31" s="168" t="s">
        <v>1160</v>
      </c>
      <c r="N31" s="567" t="s">
        <v>2024</v>
      </c>
    </row>
    <row r="32" spans="1:14" s="215" customFormat="1" ht="13.5" customHeight="1" outlineLevel="1">
      <c r="A32" s="160"/>
      <c r="B32" s="161"/>
      <c r="C32" s="210"/>
      <c r="D32" s="441" t="s">
        <v>1938</v>
      </c>
      <c r="E32" s="196"/>
      <c r="F32" s="211">
        <f>SUBTOTAL(9,F27:F31)</f>
        <v>264700</v>
      </c>
      <c r="G32" s="212"/>
      <c r="H32" s="179"/>
      <c r="I32" s="179"/>
      <c r="J32" s="213"/>
      <c r="K32" s="162"/>
      <c r="L32" s="439" t="s">
        <v>1595</v>
      </c>
      <c r="M32" s="435"/>
      <c r="N32" s="214"/>
    </row>
    <row r="33" spans="1:14" ht="13.5" customHeight="1" outlineLevel="2">
      <c r="A33" s="743" t="s">
        <v>588</v>
      </c>
      <c r="B33" s="749" t="s">
        <v>759</v>
      </c>
      <c r="C33" s="754">
        <v>2018</v>
      </c>
      <c r="D33" s="64"/>
      <c r="E33" s="755">
        <v>4</v>
      </c>
      <c r="F33" s="104">
        <f>87000+3500</f>
        <v>90500</v>
      </c>
      <c r="G33" s="98" t="s">
        <v>9</v>
      </c>
      <c r="H33" s="99">
        <v>1</v>
      </c>
      <c r="I33" s="99">
        <v>1</v>
      </c>
      <c r="J33" s="206" t="s">
        <v>1026</v>
      </c>
      <c r="K33" s="119" t="str">
        <f>VLOOKUP(J33,'PF Uscite Sp. Corr.'!$C$1:$E$100,2,FALSE)</f>
        <v>Retribuzioni in denaro O.T.I.</v>
      </c>
      <c r="L33" s="132">
        <v>1420</v>
      </c>
      <c r="M33" s="169" t="s">
        <v>1163</v>
      </c>
      <c r="N33" s="567" t="s">
        <v>2024</v>
      </c>
    </row>
    <row r="34" spans="1:14" ht="13.5" customHeight="1" outlineLevel="2">
      <c r="A34" s="744"/>
      <c r="B34" s="750"/>
      <c r="C34" s="752"/>
      <c r="D34" s="1"/>
      <c r="E34" s="756"/>
      <c r="F34" s="89">
        <v>36500</v>
      </c>
      <c r="G34" s="98" t="s">
        <v>9</v>
      </c>
      <c r="H34" s="99">
        <v>1</v>
      </c>
      <c r="I34" s="99">
        <v>1</v>
      </c>
      <c r="J34" s="206" t="s">
        <v>1321</v>
      </c>
      <c r="K34" s="119" t="str">
        <f>VLOOKUP(J34,'PF Uscite Sp. Corr.'!$C$1:$E$100,2,FALSE)</f>
        <v>Contributi sociali a carico dell'ente per OTI</v>
      </c>
      <c r="L34" s="132">
        <v>1420</v>
      </c>
      <c r="M34" s="169" t="s">
        <v>1163</v>
      </c>
      <c r="N34" s="567" t="s">
        <v>2024</v>
      </c>
    </row>
    <row r="35" spans="1:14" ht="13.5" customHeight="1" outlineLevel="2">
      <c r="A35" s="744"/>
      <c r="B35" s="750"/>
      <c r="C35" s="752"/>
      <c r="D35" s="4" t="s">
        <v>1615</v>
      </c>
      <c r="E35" s="756"/>
      <c r="F35" s="89">
        <v>7500</v>
      </c>
      <c r="G35" s="98" t="s">
        <v>9</v>
      </c>
      <c r="H35" s="99">
        <v>1</v>
      </c>
      <c r="I35" s="99">
        <v>1</v>
      </c>
      <c r="J35" s="206" t="s">
        <v>1372</v>
      </c>
      <c r="K35" s="119" t="str">
        <f>VLOOKUP(J35,'PF Uscite Sp. Corr.'!$C$1:$E$100,2,FALSE)</f>
        <v>Contributi indennità fine rapporto OTI</v>
      </c>
      <c r="L35" s="132">
        <v>1420</v>
      </c>
      <c r="M35" s="169" t="s">
        <v>1163</v>
      </c>
      <c r="N35" s="567" t="s">
        <v>2024</v>
      </c>
    </row>
    <row r="36" spans="1:14" ht="13.5" customHeight="1" outlineLevel="2">
      <c r="A36" s="744"/>
      <c r="B36" s="750"/>
      <c r="C36" s="752"/>
      <c r="D36" s="184" t="s">
        <v>1633</v>
      </c>
      <c r="E36" s="756"/>
      <c r="F36" s="89">
        <v>5800</v>
      </c>
      <c r="G36" s="98" t="s">
        <v>9</v>
      </c>
      <c r="H36" s="99">
        <v>1</v>
      </c>
      <c r="I36" s="99">
        <v>1</v>
      </c>
      <c r="J36" s="209">
        <v>10</v>
      </c>
      <c r="K36" s="119" t="str">
        <f>VLOOKUP(J36,'PF Uscite Sp. Corr.'!$C$1:$E$100,2,FALSE)</f>
        <v>Buoni Pasto Operai</v>
      </c>
      <c r="L36" s="132">
        <v>1420</v>
      </c>
      <c r="M36" s="169" t="s">
        <v>1163</v>
      </c>
      <c r="N36" s="123" t="s">
        <v>2023</v>
      </c>
    </row>
    <row r="37" spans="1:14" ht="13.5" customHeight="1" outlineLevel="2">
      <c r="A37" s="745"/>
      <c r="B37" s="751"/>
      <c r="C37" s="753"/>
      <c r="D37" s="178"/>
      <c r="E37" s="757"/>
      <c r="F37" s="89">
        <v>8200</v>
      </c>
      <c r="G37" s="98" t="s">
        <v>9</v>
      </c>
      <c r="H37" s="99">
        <v>1</v>
      </c>
      <c r="I37" s="99">
        <v>2</v>
      </c>
      <c r="J37" s="209">
        <v>11</v>
      </c>
      <c r="K37" s="119" t="str">
        <f>VLOOKUP(J37,'PF Uscite Sp. Corr.'!$C$1:$E$100,2,FALSE)</f>
        <v>Imposta regionale sulle attività produttive (IRAP)</v>
      </c>
      <c r="L37" s="132">
        <v>1420</v>
      </c>
      <c r="M37" s="169" t="s">
        <v>1163</v>
      </c>
      <c r="N37" s="567" t="s">
        <v>2024</v>
      </c>
    </row>
    <row r="38" spans="1:14" s="215" customFormat="1" ht="13.5" customHeight="1" outlineLevel="1">
      <c r="A38" s="160"/>
      <c r="B38" s="161"/>
      <c r="C38" s="210"/>
      <c r="D38" s="441" t="s">
        <v>1938</v>
      </c>
      <c r="E38" s="195"/>
      <c r="F38" s="211">
        <f>SUBTOTAL(9,F33:F37)</f>
        <v>148500</v>
      </c>
      <c r="G38" s="212"/>
      <c r="H38" s="179"/>
      <c r="I38" s="179"/>
      <c r="J38" s="213"/>
      <c r="K38" s="162"/>
      <c r="L38" s="439" t="s">
        <v>1596</v>
      </c>
      <c r="M38" s="435"/>
      <c r="N38" s="214"/>
    </row>
    <row r="39" spans="1:14" ht="13.5" customHeight="1" outlineLevel="2">
      <c r="A39" s="743" t="s">
        <v>588</v>
      </c>
      <c r="B39" s="749" t="s">
        <v>599</v>
      </c>
      <c r="C39" s="754">
        <v>2018</v>
      </c>
      <c r="D39" s="64"/>
      <c r="E39" s="780">
        <v>3</v>
      </c>
      <c r="F39" s="104">
        <v>71500</v>
      </c>
      <c r="G39" s="98" t="s">
        <v>36</v>
      </c>
      <c r="H39" s="99">
        <v>1</v>
      </c>
      <c r="I39" s="99">
        <v>1</v>
      </c>
      <c r="J39" s="206" t="s">
        <v>1026</v>
      </c>
      <c r="K39" s="119" t="str">
        <f>VLOOKUP(J39,'PF Uscite Sp. Corr.'!$C$1:$E$100,2,FALSE)</f>
        <v>Retribuzioni in denaro O.T.I.</v>
      </c>
      <c r="L39" s="132">
        <v>1518</v>
      </c>
      <c r="M39" s="169" t="s">
        <v>1180</v>
      </c>
      <c r="N39" s="567" t="s">
        <v>2024</v>
      </c>
    </row>
    <row r="40" spans="1:14" ht="13.5" customHeight="1" outlineLevel="2">
      <c r="A40" s="744"/>
      <c r="B40" s="750"/>
      <c r="C40" s="752"/>
      <c r="D40" s="138"/>
      <c r="E40" s="781"/>
      <c r="F40" s="207">
        <v>8000</v>
      </c>
      <c r="G40" s="98" t="s">
        <v>36</v>
      </c>
      <c r="H40" s="99">
        <v>1</v>
      </c>
      <c r="I40" s="99">
        <v>1</v>
      </c>
      <c r="J40" s="206" t="s">
        <v>1321</v>
      </c>
      <c r="K40" s="119" t="str">
        <f>VLOOKUP(J40,'PF Uscite Sp. Corr.'!$C$1:$E$100,2,FALSE)</f>
        <v>Contributi sociali a carico dell'ente per OTI</v>
      </c>
      <c r="L40" s="132">
        <v>1518</v>
      </c>
      <c r="M40" s="169" t="s">
        <v>1180</v>
      </c>
      <c r="N40" s="567" t="s">
        <v>2024</v>
      </c>
    </row>
    <row r="41" spans="1:14" ht="13.5" customHeight="1" outlineLevel="2">
      <c r="A41" s="744"/>
      <c r="B41" s="750"/>
      <c r="C41" s="752"/>
      <c r="D41" s="114" t="s">
        <v>1617</v>
      </c>
      <c r="E41" s="781"/>
      <c r="F41" s="207">
        <v>5500</v>
      </c>
      <c r="G41" s="98" t="s">
        <v>36</v>
      </c>
      <c r="H41" s="99">
        <v>1</v>
      </c>
      <c r="I41" s="99">
        <v>1</v>
      </c>
      <c r="J41" s="206" t="s">
        <v>1372</v>
      </c>
      <c r="K41" s="119" t="str">
        <f>VLOOKUP(J41,'PF Uscite Sp. Corr.'!$C$1:$E$100,2,FALSE)</f>
        <v>Contributi indennità fine rapporto OTI</v>
      </c>
      <c r="L41" s="132">
        <v>1518</v>
      </c>
      <c r="M41" s="169" t="s">
        <v>1180</v>
      </c>
      <c r="N41" s="567" t="s">
        <v>2024</v>
      </c>
    </row>
    <row r="42" spans="1:14" ht="13.5" customHeight="1" outlineLevel="2">
      <c r="A42" s="744"/>
      <c r="B42" s="750"/>
      <c r="C42" s="752"/>
      <c r="D42" s="184" t="s">
        <v>1633</v>
      </c>
      <c r="E42" s="781"/>
      <c r="F42" s="207">
        <v>4500</v>
      </c>
      <c r="G42" s="98" t="s">
        <v>36</v>
      </c>
      <c r="H42" s="99">
        <v>1</v>
      </c>
      <c r="I42" s="99">
        <v>1</v>
      </c>
      <c r="J42" s="209">
        <v>10</v>
      </c>
      <c r="K42" s="119" t="str">
        <f>VLOOKUP(J42,'PF Uscite Sp. Corr.'!$C$1:$E$100,2,FALSE)</f>
        <v>Buoni Pasto Operai</v>
      </c>
      <c r="L42" s="132">
        <v>1518</v>
      </c>
      <c r="M42" s="169" t="s">
        <v>1180</v>
      </c>
      <c r="N42" s="123" t="s">
        <v>2023</v>
      </c>
    </row>
    <row r="43" spans="1:14" ht="13.5" customHeight="1" outlineLevel="2">
      <c r="A43" s="745"/>
      <c r="B43" s="751"/>
      <c r="C43" s="753"/>
      <c r="D43" s="154"/>
      <c r="E43" s="782"/>
      <c r="F43" s="145">
        <v>0</v>
      </c>
      <c r="G43" s="134" t="s">
        <v>36</v>
      </c>
      <c r="H43" s="99">
        <v>1</v>
      </c>
      <c r="I43" s="99">
        <v>2</v>
      </c>
      <c r="J43" s="209">
        <v>11</v>
      </c>
      <c r="K43" s="119" t="str">
        <f>VLOOKUP(J43,'PF Uscite Sp. Corr.'!$C$1:$E$100,2,FALSE)</f>
        <v>Imposta regionale sulle attività produttive (IRAP)</v>
      </c>
      <c r="L43" s="132">
        <v>1518</v>
      </c>
      <c r="M43" s="169" t="s">
        <v>1180</v>
      </c>
      <c r="N43" s="567" t="s">
        <v>2024</v>
      </c>
    </row>
    <row r="44" spans="1:14" s="215" customFormat="1" ht="13.5" customHeight="1" outlineLevel="1">
      <c r="A44" s="160"/>
      <c r="B44" s="161"/>
      <c r="C44" s="210"/>
      <c r="D44" s="441" t="s">
        <v>1938</v>
      </c>
      <c r="E44" s="195"/>
      <c r="F44" s="211">
        <f>SUBTOTAL(9,F39:F43)</f>
        <v>89500</v>
      </c>
      <c r="G44" s="212"/>
      <c r="H44" s="179"/>
      <c r="I44" s="179"/>
      <c r="J44" s="213"/>
      <c r="K44" s="162"/>
      <c r="L44" s="439" t="s">
        <v>1598</v>
      </c>
      <c r="M44" s="435"/>
      <c r="N44" s="214"/>
    </row>
    <row r="45" spans="1:14" ht="13.5" customHeight="1" outlineLevel="2">
      <c r="A45" s="743" t="s">
        <v>588</v>
      </c>
      <c r="B45" s="749" t="s">
        <v>599</v>
      </c>
      <c r="C45" s="754">
        <v>2018</v>
      </c>
      <c r="D45" s="760" t="s">
        <v>1623</v>
      </c>
      <c r="E45" s="773">
        <v>3</v>
      </c>
      <c r="F45" s="207">
        <f>75000+500</f>
        <v>75500</v>
      </c>
      <c r="G45" s="98" t="s">
        <v>36</v>
      </c>
      <c r="H45" s="99">
        <v>1</v>
      </c>
      <c r="I45" s="99">
        <v>1</v>
      </c>
      <c r="J45" s="206" t="s">
        <v>1026</v>
      </c>
      <c r="K45" s="119" t="str">
        <f>VLOOKUP(J45,'PF Uscite Sp. Corr.'!$C$1:$E$100,2,FALSE)</f>
        <v>Retribuzioni in denaro O.T.I.</v>
      </c>
      <c r="L45" s="424">
        <v>1531</v>
      </c>
      <c r="M45" s="416" t="s">
        <v>1191</v>
      </c>
      <c r="N45" s="567" t="s">
        <v>2024</v>
      </c>
    </row>
    <row r="46" spans="1:14" ht="13.5" customHeight="1" outlineLevel="2">
      <c r="A46" s="744"/>
      <c r="B46" s="750"/>
      <c r="C46" s="752"/>
      <c r="D46" s="758"/>
      <c r="E46" s="765"/>
      <c r="F46" s="144">
        <v>11000</v>
      </c>
      <c r="G46" s="98" t="s">
        <v>36</v>
      </c>
      <c r="H46" s="99">
        <v>1</v>
      </c>
      <c r="I46" s="99">
        <v>1</v>
      </c>
      <c r="J46" s="206" t="s">
        <v>1321</v>
      </c>
      <c r="K46" s="119" t="str">
        <f>VLOOKUP(J46,'PF Uscite Sp. Corr.'!$C$1:$E$100,2,FALSE)</f>
        <v>Contributi sociali a carico dell'ente per OTI</v>
      </c>
      <c r="L46" s="424">
        <v>1531</v>
      </c>
      <c r="M46" s="416" t="s">
        <v>1191</v>
      </c>
      <c r="N46" s="567" t="s">
        <v>2024</v>
      </c>
    </row>
    <row r="47" spans="1:14" ht="13.5" customHeight="1" outlineLevel="2">
      <c r="A47" s="744"/>
      <c r="B47" s="750"/>
      <c r="C47" s="752"/>
      <c r="D47" s="759"/>
      <c r="E47" s="765"/>
      <c r="F47" s="144">
        <v>5500</v>
      </c>
      <c r="G47" s="98" t="s">
        <v>36</v>
      </c>
      <c r="H47" s="99">
        <v>1</v>
      </c>
      <c r="I47" s="99">
        <v>1</v>
      </c>
      <c r="J47" s="206" t="s">
        <v>1372</v>
      </c>
      <c r="K47" s="119" t="str">
        <f>VLOOKUP(J47,'PF Uscite Sp. Corr.'!$C$1:$E$100,2,FALSE)</f>
        <v>Contributi indennità fine rapporto OTI</v>
      </c>
      <c r="L47" s="424">
        <v>1531</v>
      </c>
      <c r="M47" s="416" t="s">
        <v>1191</v>
      </c>
      <c r="N47" s="567" t="s">
        <v>2024</v>
      </c>
    </row>
    <row r="48" spans="1:14" ht="13.5" customHeight="1" outlineLevel="2">
      <c r="A48" s="744"/>
      <c r="B48" s="750"/>
      <c r="C48" s="752"/>
      <c r="D48" s="184" t="s">
        <v>1633</v>
      </c>
      <c r="E48" s="765"/>
      <c r="F48" s="144">
        <v>1500</v>
      </c>
      <c r="G48" s="98" t="s">
        <v>36</v>
      </c>
      <c r="H48" s="99">
        <v>1</v>
      </c>
      <c r="I48" s="99">
        <v>1</v>
      </c>
      <c r="J48" s="209">
        <v>10</v>
      </c>
      <c r="K48" s="119" t="str">
        <f>VLOOKUP(J48,'PF Uscite Sp. Corr.'!$C$1:$E$100,2,FALSE)</f>
        <v>Buoni Pasto Operai</v>
      </c>
      <c r="L48" s="424">
        <v>1531</v>
      </c>
      <c r="M48" s="416" t="s">
        <v>1191</v>
      </c>
      <c r="N48" s="123" t="s">
        <v>2023</v>
      </c>
    </row>
    <row r="49" spans="1:14" ht="13.5" customHeight="1" outlineLevel="2">
      <c r="A49" s="745"/>
      <c r="B49" s="751"/>
      <c r="C49" s="753"/>
      <c r="D49" s="142"/>
      <c r="E49" s="766"/>
      <c r="F49" s="144"/>
      <c r="G49" s="134" t="s">
        <v>36</v>
      </c>
      <c r="H49" s="99">
        <v>1</v>
      </c>
      <c r="I49" s="99">
        <v>2</v>
      </c>
      <c r="J49" s="209">
        <v>11</v>
      </c>
      <c r="K49" s="119" t="str">
        <f>VLOOKUP(J49,'PF Uscite Sp. Corr.'!$C$1:$E$100,2,FALSE)</f>
        <v>Imposta regionale sulle attività produttive (IRAP)</v>
      </c>
      <c r="L49" s="424">
        <v>1531</v>
      </c>
      <c r="M49" s="416" t="s">
        <v>1191</v>
      </c>
      <c r="N49" s="567" t="s">
        <v>2024</v>
      </c>
    </row>
    <row r="50" spans="1:14" s="215" customFormat="1" ht="13.5" customHeight="1" outlineLevel="1">
      <c r="A50" s="160"/>
      <c r="B50" s="161"/>
      <c r="C50" s="210"/>
      <c r="D50" s="441" t="s">
        <v>1938</v>
      </c>
      <c r="E50" s="195"/>
      <c r="F50" s="211">
        <f>SUBTOTAL(9,F45:F49)</f>
        <v>93500</v>
      </c>
      <c r="G50" s="212"/>
      <c r="H50" s="179"/>
      <c r="I50" s="179"/>
      <c r="J50" s="213"/>
      <c r="K50" s="162"/>
      <c r="L50" s="439" t="s">
        <v>1600</v>
      </c>
      <c r="M50" s="435"/>
      <c r="N50" s="214"/>
    </row>
    <row r="51" spans="1:14" ht="13.5" customHeight="1" outlineLevel="2">
      <c r="A51" s="743" t="s">
        <v>308</v>
      </c>
      <c r="B51" s="749" t="s">
        <v>384</v>
      </c>
      <c r="C51" s="754">
        <v>2018</v>
      </c>
      <c r="D51" s="64"/>
      <c r="E51" s="755">
        <v>4</v>
      </c>
      <c r="F51" s="104">
        <f>98490-1000</f>
        <v>97490</v>
      </c>
      <c r="G51" s="98" t="s">
        <v>36</v>
      </c>
      <c r="H51" s="99">
        <v>1</v>
      </c>
      <c r="I51" s="99">
        <v>1</v>
      </c>
      <c r="J51" s="206" t="s">
        <v>1026</v>
      </c>
      <c r="K51" s="119" t="str">
        <f>VLOOKUP(J51,'PF Uscite Sp. Corr.'!$C$1:$E$100,2,FALSE)</f>
        <v>Retribuzioni in denaro O.T.I.</v>
      </c>
      <c r="L51" s="132">
        <v>1551</v>
      </c>
      <c r="M51" s="169" t="s">
        <v>1197</v>
      </c>
      <c r="N51" s="567" t="s">
        <v>2024</v>
      </c>
    </row>
    <row r="52" spans="1:14" ht="13.5" customHeight="1" outlineLevel="2">
      <c r="A52" s="744"/>
      <c r="B52" s="750"/>
      <c r="C52" s="752"/>
      <c r="D52" s="774" t="s">
        <v>1624</v>
      </c>
      <c r="E52" s="756"/>
      <c r="F52" s="89">
        <v>33180</v>
      </c>
      <c r="G52" s="90" t="s">
        <v>36</v>
      </c>
      <c r="H52" s="91">
        <v>1</v>
      </c>
      <c r="I52" s="91">
        <v>1</v>
      </c>
      <c r="J52" s="206" t="s">
        <v>1321</v>
      </c>
      <c r="K52" s="119" t="str">
        <f>VLOOKUP(J52,'PF Uscite Sp. Corr.'!$C$1:$E$100,2,FALSE)</f>
        <v>Contributi sociali a carico dell'ente per OTI</v>
      </c>
      <c r="L52" s="131">
        <v>1551</v>
      </c>
      <c r="M52" s="167" t="s">
        <v>1197</v>
      </c>
      <c r="N52" s="567" t="s">
        <v>2024</v>
      </c>
    </row>
    <row r="53" spans="1:14" ht="13.5" customHeight="1" outlineLevel="2">
      <c r="A53" s="744"/>
      <c r="B53" s="750"/>
      <c r="C53" s="752"/>
      <c r="D53" s="759"/>
      <c r="E53" s="756"/>
      <c r="F53" s="89">
        <v>6770</v>
      </c>
      <c r="G53" s="90" t="s">
        <v>36</v>
      </c>
      <c r="H53" s="91">
        <v>1</v>
      </c>
      <c r="I53" s="91">
        <v>1</v>
      </c>
      <c r="J53" s="206" t="s">
        <v>1372</v>
      </c>
      <c r="K53" s="119" t="str">
        <f>VLOOKUP(J53,'PF Uscite Sp. Corr.'!$C$1:$E$100,2,FALSE)</f>
        <v>Contributi indennità fine rapporto OTI</v>
      </c>
      <c r="L53" s="131">
        <v>1551</v>
      </c>
      <c r="M53" s="167" t="s">
        <v>1197</v>
      </c>
      <c r="N53" s="567" t="s">
        <v>2024</v>
      </c>
    </row>
    <row r="54" spans="1:14" ht="13.5" customHeight="1" outlineLevel="2">
      <c r="A54" s="744"/>
      <c r="B54" s="750"/>
      <c r="C54" s="752"/>
      <c r="D54" s="184" t="s">
        <v>1633</v>
      </c>
      <c r="E54" s="756"/>
      <c r="F54" s="89">
        <v>4610</v>
      </c>
      <c r="G54" s="90" t="s">
        <v>36</v>
      </c>
      <c r="H54" s="91">
        <v>1</v>
      </c>
      <c r="I54" s="91">
        <v>1</v>
      </c>
      <c r="J54" s="209">
        <v>10</v>
      </c>
      <c r="K54" s="119" t="str">
        <f>VLOOKUP(J54,'PF Uscite Sp. Corr.'!$C$1:$E$100,2,FALSE)</f>
        <v>Buoni Pasto Operai</v>
      </c>
      <c r="L54" s="131">
        <v>1551</v>
      </c>
      <c r="M54" s="167" t="s">
        <v>1197</v>
      </c>
      <c r="N54" s="123" t="s">
        <v>2023</v>
      </c>
    </row>
    <row r="55" spans="1:14" ht="13.5" customHeight="1" outlineLevel="2">
      <c r="A55" s="745"/>
      <c r="B55" s="751"/>
      <c r="C55" s="753"/>
      <c r="D55" s="154"/>
      <c r="E55" s="757"/>
      <c r="F55" s="145">
        <v>7950</v>
      </c>
      <c r="G55" s="134" t="s">
        <v>36</v>
      </c>
      <c r="H55" s="216">
        <v>1</v>
      </c>
      <c r="I55" s="216">
        <v>2</v>
      </c>
      <c r="J55" s="209">
        <v>11</v>
      </c>
      <c r="K55" s="119" t="str">
        <f>VLOOKUP(J55,'PF Uscite Sp. Corr.'!$C$1:$E$100,2,FALSE)</f>
        <v>Imposta regionale sulle attività produttive (IRAP)</v>
      </c>
      <c r="L55" s="419">
        <v>1551</v>
      </c>
      <c r="M55" s="168" t="str">
        <f>VLOOKUP(L55,'Centri di Costo'!$A$2:$B$179,2,FALSE)</f>
        <v>Attività Ordinaria Bosco Nordio</v>
      </c>
      <c r="N55" s="567" t="s">
        <v>2024</v>
      </c>
    </row>
    <row r="56" spans="1:14" s="215" customFormat="1" ht="13.5" customHeight="1" outlineLevel="1">
      <c r="A56" s="160"/>
      <c r="B56" s="161"/>
      <c r="C56" s="210"/>
      <c r="D56" s="441" t="s">
        <v>1938</v>
      </c>
      <c r="E56" s="195"/>
      <c r="F56" s="211">
        <f>SUBTOTAL(9,F51:F55)</f>
        <v>150000</v>
      </c>
      <c r="G56" s="212"/>
      <c r="H56" s="179"/>
      <c r="I56" s="179"/>
      <c r="J56" s="213"/>
      <c r="K56" s="162"/>
      <c r="L56" s="439" t="s">
        <v>1602</v>
      </c>
      <c r="M56" s="435"/>
      <c r="N56" s="214"/>
    </row>
    <row r="57" spans="1:14" ht="13.5" customHeight="1" outlineLevel="2">
      <c r="A57" s="743" t="s">
        <v>308</v>
      </c>
      <c r="B57" s="749" t="s">
        <v>384</v>
      </c>
      <c r="C57" s="754">
        <v>2018</v>
      </c>
      <c r="E57" s="773">
        <v>2</v>
      </c>
      <c r="F57" s="207">
        <v>49000</v>
      </c>
      <c r="G57" s="137" t="s">
        <v>35</v>
      </c>
      <c r="H57" s="99">
        <v>1</v>
      </c>
      <c r="I57" s="99">
        <v>1</v>
      </c>
      <c r="J57" s="206" t="s">
        <v>1026</v>
      </c>
      <c r="K57" s="119" t="str">
        <f>VLOOKUP(J57,'PF Uscite Sp. Corr.'!$C$1:$E$100,2,FALSE)</f>
        <v>Retribuzioni in denaro O.T.I.</v>
      </c>
      <c r="L57" s="424">
        <v>2710</v>
      </c>
      <c r="M57" s="416" t="s">
        <v>1269</v>
      </c>
      <c r="N57" s="567" t="s">
        <v>2024</v>
      </c>
    </row>
    <row r="58" spans="1:14" ht="13.5" customHeight="1" outlineLevel="2">
      <c r="A58" s="744"/>
      <c r="B58" s="750"/>
      <c r="C58" s="752"/>
      <c r="D58" s="775" t="s">
        <v>1629</v>
      </c>
      <c r="E58" s="765"/>
      <c r="F58" s="144">
        <v>20000</v>
      </c>
      <c r="G58" s="137" t="s">
        <v>35</v>
      </c>
      <c r="H58" s="91">
        <v>1</v>
      </c>
      <c r="I58" s="91">
        <v>1</v>
      </c>
      <c r="J58" s="206" t="s">
        <v>1321</v>
      </c>
      <c r="K58" s="119" t="str">
        <f>VLOOKUP(J58,'PF Uscite Sp. Corr.'!$C$1:$E$100,2,FALSE)</f>
        <v>Contributi sociali a carico dell'ente per OTI</v>
      </c>
      <c r="L58" s="424">
        <v>2710</v>
      </c>
      <c r="M58" s="416" t="s">
        <v>1269</v>
      </c>
      <c r="N58" s="567" t="s">
        <v>2024</v>
      </c>
    </row>
    <row r="59" spans="1:14" ht="13.5" customHeight="1" outlineLevel="2">
      <c r="A59" s="744"/>
      <c r="B59" s="750"/>
      <c r="C59" s="752"/>
      <c r="D59" s="776"/>
      <c r="E59" s="765"/>
      <c r="F59" s="144">
        <v>4000</v>
      </c>
      <c r="G59" s="137" t="s">
        <v>35</v>
      </c>
      <c r="H59" s="91">
        <v>1</v>
      </c>
      <c r="I59" s="91">
        <v>1</v>
      </c>
      <c r="J59" s="206" t="s">
        <v>1372</v>
      </c>
      <c r="K59" s="119" t="str">
        <f>VLOOKUP(J59,'PF Uscite Sp. Corr.'!$C$1:$E$100,2,FALSE)</f>
        <v>Contributi indennità fine rapporto OTI</v>
      </c>
      <c r="L59" s="424">
        <v>2710</v>
      </c>
      <c r="M59" s="416" t="s">
        <v>1269</v>
      </c>
      <c r="N59" s="567" t="s">
        <v>2024</v>
      </c>
    </row>
    <row r="60" spans="1:14" ht="13.5" customHeight="1" outlineLevel="2">
      <c r="A60" s="744"/>
      <c r="B60" s="750"/>
      <c r="C60" s="752"/>
      <c r="D60" s="184" t="s">
        <v>1633</v>
      </c>
      <c r="E60" s="765"/>
      <c r="F60" s="144">
        <v>3000</v>
      </c>
      <c r="G60" s="137" t="s">
        <v>35</v>
      </c>
      <c r="H60" s="91">
        <v>1</v>
      </c>
      <c r="I60" s="91">
        <v>1</v>
      </c>
      <c r="J60" s="209">
        <v>10</v>
      </c>
      <c r="K60" s="119" t="str">
        <f>VLOOKUP(J60,'PF Uscite Sp. Corr.'!$C$1:$E$100,2,FALSE)</f>
        <v>Buoni Pasto Operai</v>
      </c>
      <c r="L60" s="424">
        <v>2710</v>
      </c>
      <c r="M60" s="416" t="s">
        <v>1269</v>
      </c>
      <c r="N60" s="123" t="s">
        <v>2023</v>
      </c>
    </row>
    <row r="61" spans="1:14" ht="13.5" customHeight="1" outlineLevel="2">
      <c r="A61" s="745"/>
      <c r="B61" s="751"/>
      <c r="C61" s="753"/>
      <c r="D61" s="142"/>
      <c r="E61" s="766"/>
      <c r="F61" s="144">
        <v>0</v>
      </c>
      <c r="G61" s="137" t="s">
        <v>35</v>
      </c>
      <c r="H61" s="216">
        <v>1</v>
      </c>
      <c r="I61" s="216">
        <v>2</v>
      </c>
      <c r="J61" s="209">
        <v>11</v>
      </c>
      <c r="K61" s="119" t="str">
        <f>VLOOKUP(J61,'PF Uscite Sp. Corr.'!$C$1:$E$100,2,FALSE)</f>
        <v>Imposta regionale sulle attività produttive (IRAP)</v>
      </c>
      <c r="L61" s="424">
        <v>2710</v>
      </c>
      <c r="M61" s="416" t="s">
        <v>1269</v>
      </c>
      <c r="N61" s="567" t="s">
        <v>2024</v>
      </c>
    </row>
    <row r="62" spans="1:14" s="215" customFormat="1" ht="13.5" customHeight="1" outlineLevel="1">
      <c r="A62" s="160"/>
      <c r="B62" s="161"/>
      <c r="C62" s="210"/>
      <c r="D62" s="441" t="s">
        <v>1938</v>
      </c>
      <c r="E62" s="195"/>
      <c r="F62" s="211">
        <f>SUBTOTAL(9,F57:F61)</f>
        <v>76000</v>
      </c>
      <c r="G62" s="212"/>
      <c r="H62" s="179"/>
      <c r="I62" s="179"/>
      <c r="J62" s="213"/>
      <c r="K62" s="162"/>
      <c r="L62" s="439" t="s">
        <v>1605</v>
      </c>
      <c r="M62" s="435"/>
      <c r="N62" s="214"/>
    </row>
    <row r="63" spans="1:14" ht="13.5" customHeight="1" outlineLevel="2">
      <c r="A63" s="743" t="s">
        <v>308</v>
      </c>
      <c r="B63" s="749" t="s">
        <v>384</v>
      </c>
      <c r="C63" s="754">
        <v>2018</v>
      </c>
      <c r="E63" s="783">
        <v>1</v>
      </c>
      <c r="F63" s="217">
        <f>21800+1700</f>
        <v>23500</v>
      </c>
      <c r="G63" s="137" t="s">
        <v>35</v>
      </c>
      <c r="H63" s="99">
        <v>1</v>
      </c>
      <c r="I63" s="99">
        <v>1</v>
      </c>
      <c r="J63" s="206" t="s">
        <v>1026</v>
      </c>
      <c r="K63" s="119" t="str">
        <f>VLOOKUP(J63,'PF Uscite Sp. Corr.'!$C$1:$E$100,2,FALSE)</f>
        <v>Retribuzioni in denaro O.T.I.</v>
      </c>
      <c r="L63" s="424">
        <v>2731</v>
      </c>
      <c r="M63" s="416" t="s">
        <v>1276</v>
      </c>
      <c r="N63" s="567" t="s">
        <v>2024</v>
      </c>
    </row>
    <row r="64" spans="1:14" ht="13.5" customHeight="1" outlineLevel="2">
      <c r="A64" s="744"/>
      <c r="B64" s="750"/>
      <c r="C64" s="752"/>
      <c r="D64" s="774" t="s">
        <v>1619</v>
      </c>
      <c r="E64" s="784"/>
      <c r="F64" s="180">
        <v>8400</v>
      </c>
      <c r="G64" s="137" t="s">
        <v>35</v>
      </c>
      <c r="H64" s="91">
        <v>1</v>
      </c>
      <c r="I64" s="91">
        <v>1</v>
      </c>
      <c r="J64" s="206" t="s">
        <v>1321</v>
      </c>
      <c r="K64" s="119" t="str">
        <f>VLOOKUP(J64,'PF Uscite Sp. Corr.'!$C$1:$E$100,2,FALSE)</f>
        <v>Contributi sociali a carico dell'ente per OTI</v>
      </c>
      <c r="L64" s="424">
        <v>2731</v>
      </c>
      <c r="M64" s="416" t="s">
        <v>1276</v>
      </c>
      <c r="N64" s="567" t="s">
        <v>2024</v>
      </c>
    </row>
    <row r="65" spans="1:14" ht="13.5" customHeight="1" outlineLevel="2">
      <c r="A65" s="744"/>
      <c r="B65" s="750"/>
      <c r="C65" s="752"/>
      <c r="D65" s="758"/>
      <c r="E65" s="784"/>
      <c r="F65" s="218">
        <v>1700</v>
      </c>
      <c r="G65" s="137" t="s">
        <v>35</v>
      </c>
      <c r="H65" s="91">
        <v>1</v>
      </c>
      <c r="I65" s="91">
        <v>1</v>
      </c>
      <c r="J65" s="206" t="s">
        <v>1372</v>
      </c>
      <c r="K65" s="119" t="str">
        <f>VLOOKUP(J65,'PF Uscite Sp. Corr.'!$C$1:$E$100,2,FALSE)</f>
        <v>Contributi indennità fine rapporto OTI</v>
      </c>
      <c r="L65" s="424">
        <v>2731</v>
      </c>
      <c r="M65" s="416" t="s">
        <v>1276</v>
      </c>
      <c r="N65" s="567" t="s">
        <v>2024</v>
      </c>
    </row>
    <row r="66" spans="1:14" ht="13.5" customHeight="1" outlineLevel="2">
      <c r="A66" s="744"/>
      <c r="B66" s="750"/>
      <c r="C66" s="752"/>
      <c r="D66" s="184" t="s">
        <v>1633</v>
      </c>
      <c r="E66" s="784"/>
      <c r="F66" s="218">
        <v>1500</v>
      </c>
      <c r="G66" s="137" t="s">
        <v>35</v>
      </c>
      <c r="H66" s="91">
        <v>1</v>
      </c>
      <c r="I66" s="91">
        <v>1</v>
      </c>
      <c r="J66" s="209">
        <v>10</v>
      </c>
      <c r="K66" s="119" t="str">
        <f>VLOOKUP(J66,'PF Uscite Sp. Corr.'!$C$1:$E$100,2,FALSE)</f>
        <v>Buoni Pasto Operai</v>
      </c>
      <c r="L66" s="424">
        <v>2731</v>
      </c>
      <c r="M66" s="416" t="s">
        <v>1276</v>
      </c>
      <c r="N66" s="123" t="s">
        <v>2023</v>
      </c>
    </row>
    <row r="67" spans="1:14" ht="13.5" customHeight="1" outlineLevel="2">
      <c r="A67" s="745"/>
      <c r="B67" s="751"/>
      <c r="C67" s="753"/>
      <c r="D67" s="142"/>
      <c r="E67" s="785"/>
      <c r="F67" s="218">
        <v>2200</v>
      </c>
      <c r="G67" s="137" t="s">
        <v>35</v>
      </c>
      <c r="H67" s="216">
        <v>1</v>
      </c>
      <c r="I67" s="216">
        <v>2</v>
      </c>
      <c r="J67" s="209">
        <v>11</v>
      </c>
      <c r="K67" s="119" t="str">
        <f>VLOOKUP(J67,'PF Uscite Sp. Corr.'!$C$1:$E$100,2,FALSE)</f>
        <v>Imposta regionale sulle attività produttive (IRAP)</v>
      </c>
      <c r="L67" s="424">
        <v>2731</v>
      </c>
      <c r="M67" s="416" t="s">
        <v>1276</v>
      </c>
      <c r="N67" s="567" t="s">
        <v>2024</v>
      </c>
    </row>
    <row r="68" spans="1:14" s="221" customFormat="1" ht="13.5" customHeight="1" outlineLevel="1">
      <c r="A68" s="163"/>
      <c r="B68" s="164"/>
      <c r="C68" s="219"/>
      <c r="D68" s="441" t="s">
        <v>1938</v>
      </c>
      <c r="E68" s="197"/>
      <c r="F68" s="211">
        <f>SUBTOTAL(9,F63:F67)</f>
        <v>37300</v>
      </c>
      <c r="G68" s="179"/>
      <c r="H68" s="179"/>
      <c r="I68" s="179"/>
      <c r="J68" s="213"/>
      <c r="K68" s="165"/>
      <c r="L68" s="439" t="s">
        <v>1604</v>
      </c>
      <c r="M68" s="435"/>
      <c r="N68" s="220"/>
    </row>
    <row r="69" spans="1:14" s="229" customFormat="1" ht="17.25" customHeight="1" outlineLevel="1">
      <c r="A69" s="150"/>
      <c r="B69" s="151"/>
      <c r="C69" s="222"/>
      <c r="D69" s="506" t="s">
        <v>1631</v>
      </c>
      <c r="E69" s="223">
        <f>SUBTOTAL(9,E3:E68)</f>
        <v>35</v>
      </c>
      <c r="F69" s="224">
        <f>SUBTOTAL(9,F3:F68)</f>
        <v>1175500</v>
      </c>
      <c r="G69" s="225"/>
      <c r="H69" s="226"/>
      <c r="I69" s="226"/>
      <c r="J69" s="227"/>
      <c r="K69" s="153"/>
      <c r="L69" s="543"/>
      <c r="M69" s="570"/>
      <c r="N69" s="228"/>
    </row>
    <row r="70" spans="1:11" ht="20.25" customHeight="1">
      <c r="A70" s="76"/>
      <c r="D70" s="177"/>
      <c r="F70" s="81"/>
      <c r="K70" s="193"/>
    </row>
    <row r="71" spans="1:6" ht="20.25" customHeight="1">
      <c r="A71" s="76"/>
      <c r="D71" s="193" t="s">
        <v>1625</v>
      </c>
      <c r="F71" s="81"/>
    </row>
    <row r="72" spans="1:14" s="205" customFormat="1" ht="13.5" customHeight="1">
      <c r="A72" s="84" t="s">
        <v>0</v>
      </c>
      <c r="B72" s="84" t="s">
        <v>1</v>
      </c>
      <c r="C72" s="126" t="s">
        <v>1072</v>
      </c>
      <c r="D72" s="84" t="s">
        <v>1070</v>
      </c>
      <c r="E72" s="192"/>
      <c r="F72" s="192" t="s">
        <v>1075</v>
      </c>
      <c r="G72" s="84" t="s">
        <v>1073</v>
      </c>
      <c r="H72" s="84" t="s">
        <v>3</v>
      </c>
      <c r="I72" s="84" t="s">
        <v>4</v>
      </c>
      <c r="J72" s="84" t="s">
        <v>1076</v>
      </c>
      <c r="K72" s="84" t="s">
        <v>1110</v>
      </c>
      <c r="L72" s="194" t="s">
        <v>1074</v>
      </c>
      <c r="M72" s="571" t="s">
        <v>1111</v>
      </c>
      <c r="N72" s="552" t="s">
        <v>1556</v>
      </c>
    </row>
    <row r="73" spans="1:14" s="112" customFormat="1" ht="13.5" customHeight="1" outlineLevel="2">
      <c r="A73" s="746" t="s">
        <v>588</v>
      </c>
      <c r="B73" s="749" t="s">
        <v>894</v>
      </c>
      <c r="C73" s="754">
        <v>2018</v>
      </c>
      <c r="D73" s="6"/>
      <c r="E73" s="187">
        <v>0.65</v>
      </c>
      <c r="F73" s="230">
        <f>D$78*E73</f>
        <v>26650</v>
      </c>
      <c r="G73" s="90" t="s">
        <v>9</v>
      </c>
      <c r="H73" s="91">
        <v>1</v>
      </c>
      <c r="I73" s="91">
        <v>1</v>
      </c>
      <c r="J73" s="231" t="s">
        <v>886</v>
      </c>
      <c r="K73" s="119" t="str">
        <f>VLOOKUP(J73,'PF Uscite Sp. Corr.'!$C$1:$E$100,2,FALSE)</f>
        <v>Retribuzioni in denaro OTD</v>
      </c>
      <c r="L73" s="131">
        <v>1118</v>
      </c>
      <c r="M73" s="167" t="s">
        <v>1129</v>
      </c>
      <c r="N73" s="567" t="s">
        <v>2024</v>
      </c>
    </row>
    <row r="74" spans="1:14" s="112" customFormat="1" ht="13.5" customHeight="1" outlineLevel="2">
      <c r="A74" s="747"/>
      <c r="B74" s="750"/>
      <c r="C74" s="752"/>
      <c r="D74" s="6"/>
      <c r="E74" s="187">
        <v>0.26</v>
      </c>
      <c r="F74" s="230">
        <f>D$78*E74</f>
        <v>10660</v>
      </c>
      <c r="G74" s="90" t="s">
        <v>9</v>
      </c>
      <c r="H74" s="91">
        <v>1</v>
      </c>
      <c r="I74" s="91">
        <v>1</v>
      </c>
      <c r="J74" s="231" t="s">
        <v>1378</v>
      </c>
      <c r="K74" s="119" t="str">
        <f>VLOOKUP(J74,'PF Uscite Sp. Corr.'!$C$1:$E$100,2,FALSE)</f>
        <v>Contributi sociali a carico dell'ente OTD</v>
      </c>
      <c r="L74" s="131">
        <v>1118</v>
      </c>
      <c r="M74" s="167" t="s">
        <v>1129</v>
      </c>
      <c r="N74" s="567" t="s">
        <v>2024</v>
      </c>
    </row>
    <row r="75" spans="1:14" s="112" customFormat="1" ht="13.5" customHeight="1" outlineLevel="2">
      <c r="A75" s="747"/>
      <c r="B75" s="750"/>
      <c r="C75" s="752"/>
      <c r="D75" s="4" t="s">
        <v>1612</v>
      </c>
      <c r="E75" s="187">
        <v>0.043</v>
      </c>
      <c r="F75" s="230">
        <f>D$78*E75</f>
        <v>1762.9999999999998</v>
      </c>
      <c r="G75" s="90" t="s">
        <v>9</v>
      </c>
      <c r="H75" s="91">
        <v>1</v>
      </c>
      <c r="I75" s="91">
        <v>1</v>
      </c>
      <c r="J75" s="231" t="s">
        <v>1320</v>
      </c>
      <c r="K75" s="119" t="str">
        <f>VLOOKUP(J75,'PF Uscite Sp. Corr.'!$C$1:$E$100,2,FALSE)</f>
        <v>Contributi indennità fine rapporto OTD</v>
      </c>
      <c r="L75" s="131">
        <v>1118</v>
      </c>
      <c r="M75" s="167" t="s">
        <v>1129</v>
      </c>
      <c r="N75" s="567" t="s">
        <v>2024</v>
      </c>
    </row>
    <row r="76" spans="1:14" s="112" customFormat="1" ht="13.5" customHeight="1" outlineLevel="2">
      <c r="A76" s="747"/>
      <c r="B76" s="750"/>
      <c r="C76" s="752"/>
      <c r="D76" s="184" t="s">
        <v>1620</v>
      </c>
      <c r="E76" s="188">
        <v>0.047</v>
      </c>
      <c r="F76" s="230">
        <f>D$78*E76</f>
        <v>1927</v>
      </c>
      <c r="G76" s="90" t="s">
        <v>9</v>
      </c>
      <c r="H76" s="91">
        <v>1</v>
      </c>
      <c r="I76" s="91">
        <v>1</v>
      </c>
      <c r="J76" s="232">
        <v>10</v>
      </c>
      <c r="K76" s="119" t="str">
        <f>VLOOKUP(J76,'PF Uscite Sp. Corr.'!$C$1:$E$100,2,FALSE)</f>
        <v>Buoni Pasto Operai</v>
      </c>
      <c r="L76" s="131">
        <v>1118</v>
      </c>
      <c r="M76" s="167" t="s">
        <v>1129</v>
      </c>
      <c r="N76" s="123" t="s">
        <v>2023</v>
      </c>
    </row>
    <row r="77" spans="1:14" ht="13.5" customHeight="1" outlineLevel="2">
      <c r="A77" s="748"/>
      <c r="B77" s="751"/>
      <c r="C77" s="753"/>
      <c r="D77" s="154"/>
      <c r="E77" s="189">
        <v>0</v>
      </c>
      <c r="F77" s="230">
        <f>D$78*E77</f>
        <v>0</v>
      </c>
      <c r="G77" s="134" t="s">
        <v>9</v>
      </c>
      <c r="H77" s="216">
        <v>1</v>
      </c>
      <c r="I77" s="216">
        <v>2</v>
      </c>
      <c r="J77" s="233">
        <v>11</v>
      </c>
      <c r="K77" s="119" t="str">
        <f>VLOOKUP(J77,'PF Uscite Sp. Corr.'!$C$1:$E$100,2,FALSE)</f>
        <v>Imposta regionale sulle attività produttive (IRAP)</v>
      </c>
      <c r="L77" s="419">
        <v>1118</v>
      </c>
      <c r="M77" s="168" t="s">
        <v>1129</v>
      </c>
      <c r="N77" s="567" t="s">
        <v>2024</v>
      </c>
    </row>
    <row r="78" spans="1:14" s="215" customFormat="1" ht="13.5" customHeight="1" outlineLevel="1">
      <c r="A78" s="160"/>
      <c r="B78" s="161"/>
      <c r="C78" s="210"/>
      <c r="D78" s="191">
        <v>41000</v>
      </c>
      <c r="E78" s="234">
        <f>SUM(E73:E77)</f>
        <v>1</v>
      </c>
      <c r="F78" s="211">
        <f>SUBTOTAL(9,F73:F77)</f>
        <v>41000</v>
      </c>
      <c r="G78" s="212"/>
      <c r="H78" s="179"/>
      <c r="I78" s="179"/>
      <c r="J78" s="213"/>
      <c r="K78" s="162"/>
      <c r="L78" s="542" t="s">
        <v>1591</v>
      </c>
      <c r="M78" s="435"/>
      <c r="N78" s="214"/>
    </row>
    <row r="79" spans="1:14" ht="13.5" customHeight="1" outlineLevel="2">
      <c r="A79" s="746" t="s">
        <v>588</v>
      </c>
      <c r="B79" s="749" t="s">
        <v>894</v>
      </c>
      <c r="C79" s="754">
        <v>2018</v>
      </c>
      <c r="D79" s="111"/>
      <c r="E79" s="187">
        <f>63.3%+3.1%</f>
        <v>0.664</v>
      </c>
      <c r="F79" s="230">
        <v>63280</v>
      </c>
      <c r="G79" s="98" t="s">
        <v>9</v>
      </c>
      <c r="H79" s="91">
        <v>1</v>
      </c>
      <c r="I79" s="91">
        <v>1</v>
      </c>
      <c r="J79" s="231" t="s">
        <v>886</v>
      </c>
      <c r="K79" s="119" t="str">
        <f>VLOOKUP(J79,'PF Uscite Sp. Corr.'!$C$1:$E$100,2,FALSE)</f>
        <v>Retribuzioni in denaro OTD</v>
      </c>
      <c r="L79" s="132">
        <v>1128</v>
      </c>
      <c r="M79" s="169" t="s">
        <v>1138</v>
      </c>
      <c r="N79" s="567" t="s">
        <v>2024</v>
      </c>
    </row>
    <row r="80" spans="1:14" ht="13.5" customHeight="1" outlineLevel="2">
      <c r="A80" s="747"/>
      <c r="B80" s="750"/>
      <c r="C80" s="752"/>
      <c r="D80" s="1"/>
      <c r="E80" s="187">
        <v>0.25</v>
      </c>
      <c r="F80" s="230">
        <v>23825</v>
      </c>
      <c r="G80" s="90" t="s">
        <v>9</v>
      </c>
      <c r="H80" s="91">
        <v>1</v>
      </c>
      <c r="I80" s="91">
        <v>1</v>
      </c>
      <c r="J80" s="231" t="s">
        <v>1378</v>
      </c>
      <c r="K80" s="119" t="str">
        <f>VLOOKUP(J80,'PF Uscite Sp. Corr.'!$C$1:$E$100,2,FALSE)</f>
        <v>Contributi sociali a carico dell'ente OTD</v>
      </c>
      <c r="L80" s="131">
        <v>1128</v>
      </c>
      <c r="M80" s="167" t="s">
        <v>1138</v>
      </c>
      <c r="N80" s="567" t="s">
        <v>2024</v>
      </c>
    </row>
    <row r="81" spans="1:14" ht="13.5" customHeight="1" outlineLevel="2">
      <c r="A81" s="747"/>
      <c r="B81" s="750"/>
      <c r="C81" s="752"/>
      <c r="D81" s="4" t="s">
        <v>1613</v>
      </c>
      <c r="E81" s="187">
        <v>0.042</v>
      </c>
      <c r="F81" s="230">
        <v>4002</v>
      </c>
      <c r="G81" s="90" t="s">
        <v>9</v>
      </c>
      <c r="H81" s="91">
        <v>1</v>
      </c>
      <c r="I81" s="91">
        <v>1</v>
      </c>
      <c r="J81" s="231" t="s">
        <v>1320</v>
      </c>
      <c r="K81" s="119" t="str">
        <f>VLOOKUP(J81,'PF Uscite Sp. Corr.'!$C$1:$E$100,2,FALSE)</f>
        <v>Contributi indennità fine rapporto OTD</v>
      </c>
      <c r="L81" s="131">
        <v>1128</v>
      </c>
      <c r="M81" s="167" t="s">
        <v>1138</v>
      </c>
      <c r="N81" s="567" t="s">
        <v>2024</v>
      </c>
    </row>
    <row r="82" spans="1:14" ht="13.5" customHeight="1" outlineLevel="2">
      <c r="A82" s="747"/>
      <c r="B82" s="750"/>
      <c r="C82" s="752"/>
      <c r="D82" s="184" t="s">
        <v>1620</v>
      </c>
      <c r="E82" s="187">
        <v>0.044</v>
      </c>
      <c r="F82" s="230">
        <v>4193</v>
      </c>
      <c r="G82" s="90" t="s">
        <v>9</v>
      </c>
      <c r="H82" s="91">
        <v>1</v>
      </c>
      <c r="I82" s="91">
        <v>1</v>
      </c>
      <c r="J82" s="232">
        <v>10</v>
      </c>
      <c r="K82" s="119" t="str">
        <f>VLOOKUP(J82,'PF Uscite Sp. Corr.'!$C$1:$E$100,2,FALSE)</f>
        <v>Buoni Pasto Operai</v>
      </c>
      <c r="L82" s="131">
        <v>1128</v>
      </c>
      <c r="M82" s="167" t="s">
        <v>1138</v>
      </c>
      <c r="N82" s="123" t="s">
        <v>2023</v>
      </c>
    </row>
    <row r="83" spans="1:14" ht="13.5" customHeight="1" outlineLevel="2">
      <c r="A83" s="748"/>
      <c r="B83" s="751"/>
      <c r="C83" s="753"/>
      <c r="D83" s="154"/>
      <c r="E83" s="187">
        <v>0</v>
      </c>
      <c r="F83" s="230">
        <f aca="true" t="shared" si="0" ref="F83">D$84*E83</f>
        <v>0</v>
      </c>
      <c r="G83" s="134" t="s">
        <v>9</v>
      </c>
      <c r="H83" s="216">
        <v>1</v>
      </c>
      <c r="I83" s="216">
        <v>2</v>
      </c>
      <c r="J83" s="233">
        <v>11</v>
      </c>
      <c r="K83" s="119" t="str">
        <f>VLOOKUP(J83,'PF Uscite Sp. Corr.'!$C$1:$E$100,2,FALSE)</f>
        <v>Imposta regionale sulle attività produttive (IRAP)</v>
      </c>
      <c r="L83" s="419">
        <v>1128</v>
      </c>
      <c r="M83" s="168" t="s">
        <v>1138</v>
      </c>
      <c r="N83" s="567" t="s">
        <v>2024</v>
      </c>
    </row>
    <row r="84" spans="1:14" s="215" customFormat="1" ht="13.5" customHeight="1" outlineLevel="1">
      <c r="A84" s="160"/>
      <c r="B84" s="161"/>
      <c r="C84" s="210"/>
      <c r="D84" s="191">
        <v>95300</v>
      </c>
      <c r="E84" s="234">
        <f>SUM(E79:E83)</f>
        <v>1</v>
      </c>
      <c r="F84" s="211">
        <f>SUBTOTAL(9,F79:F83)</f>
        <v>95300</v>
      </c>
      <c r="G84" s="212"/>
      <c r="H84" s="179"/>
      <c r="I84" s="179"/>
      <c r="J84" s="213"/>
      <c r="K84" s="162"/>
      <c r="L84" s="439" t="s">
        <v>1592</v>
      </c>
      <c r="M84" s="435"/>
      <c r="N84" s="214"/>
    </row>
    <row r="85" spans="1:14" ht="13.5" customHeight="1" outlineLevel="2">
      <c r="A85" s="746" t="s">
        <v>588</v>
      </c>
      <c r="B85" s="749" t="s">
        <v>894</v>
      </c>
      <c r="C85" s="754">
        <v>2018</v>
      </c>
      <c r="D85" s="64"/>
      <c r="E85" s="187">
        <v>0.65</v>
      </c>
      <c r="F85" s="230">
        <f>D$90*E85</f>
        <v>76375</v>
      </c>
      <c r="G85" s="98" t="s">
        <v>9</v>
      </c>
      <c r="H85" s="91">
        <v>1</v>
      </c>
      <c r="I85" s="91">
        <v>1</v>
      </c>
      <c r="J85" s="231" t="s">
        <v>886</v>
      </c>
      <c r="K85" s="119" t="str">
        <f>VLOOKUP(J85,'PF Uscite Sp. Corr.'!$C$1:$E$100,2,FALSE)</f>
        <v>Retribuzioni in denaro OTD</v>
      </c>
      <c r="L85" s="132">
        <v>1138</v>
      </c>
      <c r="M85" s="169" t="s">
        <v>1145</v>
      </c>
      <c r="N85" s="567" t="s">
        <v>2024</v>
      </c>
    </row>
    <row r="86" spans="1:14" ht="13.5" customHeight="1" outlineLevel="2">
      <c r="A86" s="747"/>
      <c r="B86" s="750"/>
      <c r="C86" s="752"/>
      <c r="D86" s="64"/>
      <c r="E86" s="187">
        <v>0.258</v>
      </c>
      <c r="F86" s="230">
        <f aca="true" t="shared" si="1" ref="F86:F89">D$90*E86</f>
        <v>30315</v>
      </c>
      <c r="G86" s="90" t="s">
        <v>9</v>
      </c>
      <c r="H86" s="91">
        <v>1</v>
      </c>
      <c r="I86" s="91">
        <v>1</v>
      </c>
      <c r="J86" s="231" t="s">
        <v>1378</v>
      </c>
      <c r="K86" s="119" t="str">
        <f>VLOOKUP(J86,'PF Uscite Sp. Corr.'!$C$1:$E$100,2,FALSE)</f>
        <v>Contributi sociali a carico dell'ente OTD</v>
      </c>
      <c r="L86" s="131">
        <v>1138</v>
      </c>
      <c r="M86" s="167" t="s">
        <v>1145</v>
      </c>
      <c r="N86" s="567" t="s">
        <v>2024</v>
      </c>
    </row>
    <row r="87" spans="1:14" ht="13.5" customHeight="1" outlineLevel="2">
      <c r="A87" s="747"/>
      <c r="B87" s="750"/>
      <c r="C87" s="752"/>
      <c r="D87" s="4" t="s">
        <v>1621</v>
      </c>
      <c r="E87" s="187">
        <v>0.037</v>
      </c>
      <c r="F87" s="230">
        <f t="shared" si="1"/>
        <v>4347.5</v>
      </c>
      <c r="G87" s="90" t="s">
        <v>9</v>
      </c>
      <c r="H87" s="91">
        <v>1</v>
      </c>
      <c r="I87" s="91">
        <v>1</v>
      </c>
      <c r="J87" s="231" t="s">
        <v>1320</v>
      </c>
      <c r="K87" s="119" t="str">
        <f>VLOOKUP(J87,'PF Uscite Sp. Corr.'!$C$1:$E$100,2,FALSE)</f>
        <v>Contributi indennità fine rapporto OTD</v>
      </c>
      <c r="L87" s="131">
        <v>1138</v>
      </c>
      <c r="M87" s="167" t="s">
        <v>1145</v>
      </c>
      <c r="N87" s="567" t="s">
        <v>2024</v>
      </c>
    </row>
    <row r="88" spans="1:14" ht="13.5" customHeight="1" outlineLevel="2">
      <c r="A88" s="747"/>
      <c r="B88" s="750"/>
      <c r="C88" s="752"/>
      <c r="D88" s="184" t="s">
        <v>1620</v>
      </c>
      <c r="E88" s="188">
        <v>0.055</v>
      </c>
      <c r="F88" s="230">
        <f t="shared" si="1"/>
        <v>6462.5</v>
      </c>
      <c r="G88" s="90" t="s">
        <v>9</v>
      </c>
      <c r="H88" s="91">
        <v>1</v>
      </c>
      <c r="I88" s="91">
        <v>1</v>
      </c>
      <c r="J88" s="232">
        <v>10</v>
      </c>
      <c r="K88" s="119" t="str">
        <f>VLOOKUP(J88,'PF Uscite Sp. Corr.'!$C$1:$E$100,2,FALSE)</f>
        <v>Buoni Pasto Operai</v>
      </c>
      <c r="L88" s="131">
        <v>1138</v>
      </c>
      <c r="M88" s="167" t="s">
        <v>1145</v>
      </c>
      <c r="N88" s="123" t="s">
        <v>2023</v>
      </c>
    </row>
    <row r="89" spans="1:14" ht="13.5" customHeight="1" outlineLevel="2">
      <c r="A89" s="748"/>
      <c r="B89" s="751"/>
      <c r="C89" s="753"/>
      <c r="D89" s="93"/>
      <c r="E89" s="189">
        <v>0</v>
      </c>
      <c r="F89" s="230">
        <f t="shared" si="1"/>
        <v>0</v>
      </c>
      <c r="G89" s="134" t="s">
        <v>9</v>
      </c>
      <c r="H89" s="216">
        <v>1</v>
      </c>
      <c r="I89" s="216">
        <v>2</v>
      </c>
      <c r="J89" s="233">
        <v>11</v>
      </c>
      <c r="K89" s="119" t="str">
        <f>VLOOKUP(J89,'PF Uscite Sp. Corr.'!$C$1:$E$100,2,FALSE)</f>
        <v>Imposta regionale sulle attività produttive (IRAP)</v>
      </c>
      <c r="L89" s="419">
        <v>1138</v>
      </c>
      <c r="M89" s="168" t="s">
        <v>1145</v>
      </c>
      <c r="N89" s="567" t="s">
        <v>2024</v>
      </c>
    </row>
    <row r="90" spans="1:14" s="215" customFormat="1" ht="13.5" customHeight="1" outlineLevel="1">
      <c r="A90" s="160"/>
      <c r="B90" s="161"/>
      <c r="C90" s="210"/>
      <c r="D90" s="191">
        <f>82500+5000+10000+2000+13000+5000</f>
        <v>117500</v>
      </c>
      <c r="E90" s="234">
        <f>SUM(E85:E89)</f>
        <v>1</v>
      </c>
      <c r="F90" s="211">
        <f>SUBTOTAL(9,F85:F89)</f>
        <v>117500</v>
      </c>
      <c r="G90" s="212"/>
      <c r="H90" s="179"/>
      <c r="I90" s="179"/>
      <c r="J90" s="213"/>
      <c r="K90" s="162"/>
      <c r="L90" s="439" t="s">
        <v>1593</v>
      </c>
      <c r="M90" s="435"/>
      <c r="N90" s="214"/>
    </row>
    <row r="91" spans="1:14" ht="13.5" customHeight="1" outlineLevel="2">
      <c r="A91" s="746" t="s">
        <v>588</v>
      </c>
      <c r="B91" s="749" t="s">
        <v>894</v>
      </c>
      <c r="C91" s="754">
        <v>2018</v>
      </c>
      <c r="D91" s="138"/>
      <c r="E91" s="187">
        <v>0.804</v>
      </c>
      <c r="F91" s="230">
        <f>D$96*E91</f>
        <v>42612</v>
      </c>
      <c r="G91" s="98" t="s">
        <v>9</v>
      </c>
      <c r="H91" s="91">
        <v>1</v>
      </c>
      <c r="I91" s="91">
        <v>1</v>
      </c>
      <c r="J91" s="231" t="s">
        <v>886</v>
      </c>
      <c r="K91" s="119" t="str">
        <f>VLOOKUP(J91,'PF Uscite Sp. Corr.'!$C$1:$E$100,2,FALSE)</f>
        <v>Retribuzioni in denaro OTD</v>
      </c>
      <c r="L91" s="132">
        <v>1138</v>
      </c>
      <c r="M91" s="169" t="s">
        <v>1145</v>
      </c>
      <c r="N91" s="567" t="s">
        <v>2024</v>
      </c>
    </row>
    <row r="92" spans="1:14" ht="13.5" customHeight="1" outlineLevel="2">
      <c r="A92" s="747"/>
      <c r="B92" s="750"/>
      <c r="C92" s="752"/>
      <c r="E92" s="187">
        <v>0.086</v>
      </c>
      <c r="F92" s="230">
        <f aca="true" t="shared" si="2" ref="F92:F95">D$96*E92</f>
        <v>4558</v>
      </c>
      <c r="G92" s="90" t="s">
        <v>9</v>
      </c>
      <c r="H92" s="91">
        <v>1</v>
      </c>
      <c r="I92" s="91">
        <v>1</v>
      </c>
      <c r="J92" s="231" t="s">
        <v>1378</v>
      </c>
      <c r="K92" s="119" t="str">
        <f>VLOOKUP(J92,'PF Uscite Sp. Corr.'!$C$1:$E$100,2,FALSE)</f>
        <v>Contributi sociali a carico dell'ente OTD</v>
      </c>
      <c r="L92" s="131">
        <v>1138</v>
      </c>
      <c r="M92" s="167" t="s">
        <v>1145</v>
      </c>
      <c r="N92" s="567" t="s">
        <v>2024</v>
      </c>
    </row>
    <row r="93" spans="1:14" ht="13.5" customHeight="1" outlineLevel="2">
      <c r="A93" s="747"/>
      <c r="B93" s="750"/>
      <c r="C93" s="752"/>
      <c r="D93" s="156" t="s">
        <v>1614</v>
      </c>
      <c r="E93" s="187">
        <v>0.052</v>
      </c>
      <c r="F93" s="230">
        <f t="shared" si="2"/>
        <v>2756</v>
      </c>
      <c r="G93" s="90" t="s">
        <v>9</v>
      </c>
      <c r="H93" s="91">
        <v>1</v>
      </c>
      <c r="I93" s="91">
        <v>1</v>
      </c>
      <c r="J93" s="231" t="s">
        <v>1320</v>
      </c>
      <c r="K93" s="119" t="str">
        <f>VLOOKUP(J93,'PF Uscite Sp. Corr.'!$C$1:$E$100,2,FALSE)</f>
        <v>Contributi indennità fine rapporto OTD</v>
      </c>
      <c r="L93" s="131">
        <v>1138</v>
      </c>
      <c r="M93" s="167" t="s">
        <v>1145</v>
      </c>
      <c r="N93" s="567" t="s">
        <v>2024</v>
      </c>
    </row>
    <row r="94" spans="1:14" ht="13.5" customHeight="1" outlineLevel="2">
      <c r="A94" s="747"/>
      <c r="B94" s="750"/>
      <c r="C94" s="752"/>
      <c r="D94" s="184" t="s">
        <v>1620</v>
      </c>
      <c r="E94" s="188">
        <v>0.058</v>
      </c>
      <c r="F94" s="230">
        <f t="shared" si="2"/>
        <v>3074</v>
      </c>
      <c r="G94" s="90" t="s">
        <v>9</v>
      </c>
      <c r="H94" s="91">
        <v>1</v>
      </c>
      <c r="I94" s="91">
        <v>1</v>
      </c>
      <c r="J94" s="232">
        <v>10</v>
      </c>
      <c r="K94" s="119" t="str">
        <f>VLOOKUP(J94,'PF Uscite Sp. Corr.'!$C$1:$E$100,2,FALSE)</f>
        <v>Buoni Pasto Operai</v>
      </c>
      <c r="L94" s="131">
        <v>1138</v>
      </c>
      <c r="M94" s="167" t="s">
        <v>1145</v>
      </c>
      <c r="N94" s="123" t="s">
        <v>2023</v>
      </c>
    </row>
    <row r="95" spans="1:14" ht="13.5" customHeight="1" outlineLevel="2">
      <c r="A95" s="748"/>
      <c r="B95" s="751"/>
      <c r="C95" s="753"/>
      <c r="D95" s="138"/>
      <c r="E95" s="189">
        <v>0</v>
      </c>
      <c r="F95" s="230">
        <f t="shared" si="2"/>
        <v>0</v>
      </c>
      <c r="G95" s="134" t="s">
        <v>9</v>
      </c>
      <c r="H95" s="216">
        <v>1</v>
      </c>
      <c r="I95" s="216">
        <v>2</v>
      </c>
      <c r="J95" s="233">
        <v>11</v>
      </c>
      <c r="K95" s="119" t="str">
        <f>VLOOKUP(J95,'PF Uscite Sp. Corr.'!$C$1:$E$100,2,FALSE)</f>
        <v>Imposta regionale sulle attività produttive (IRAP)</v>
      </c>
      <c r="L95" s="419">
        <v>1138</v>
      </c>
      <c r="M95" s="168" t="s">
        <v>1145</v>
      </c>
      <c r="N95" s="567" t="s">
        <v>2024</v>
      </c>
    </row>
    <row r="96" spans="1:14" s="215" customFormat="1" ht="13.5" customHeight="1" outlineLevel="1">
      <c r="A96" s="160"/>
      <c r="B96" s="161"/>
      <c r="C96" s="210"/>
      <c r="D96" s="191">
        <v>53000</v>
      </c>
      <c r="E96" s="234">
        <f>SUM(E91:E95)</f>
        <v>1</v>
      </c>
      <c r="F96" s="211">
        <f>SUBTOTAL(9,F91:F95)</f>
        <v>53000</v>
      </c>
      <c r="G96" s="212"/>
      <c r="H96" s="179"/>
      <c r="I96" s="179"/>
      <c r="J96" s="213"/>
      <c r="K96" s="162"/>
      <c r="L96" s="439" t="s">
        <v>1594</v>
      </c>
      <c r="M96" s="435"/>
      <c r="N96" s="214"/>
    </row>
    <row r="97" spans="1:14" ht="13.5" customHeight="1" outlineLevel="2">
      <c r="A97" s="746" t="s">
        <v>588</v>
      </c>
      <c r="B97" s="749" t="s">
        <v>759</v>
      </c>
      <c r="C97" s="754">
        <v>2018</v>
      </c>
      <c r="E97" s="187">
        <v>0.62</v>
      </c>
      <c r="F97" s="104">
        <f>154065+6070</f>
        <v>160135</v>
      </c>
      <c r="G97" s="98" t="s">
        <v>9</v>
      </c>
      <c r="H97" s="91">
        <v>1</v>
      </c>
      <c r="I97" s="91">
        <v>1</v>
      </c>
      <c r="J97" s="231" t="s">
        <v>886</v>
      </c>
      <c r="K97" s="119" t="str">
        <f>VLOOKUP(J97,'PF Uscite Sp. Corr.'!$C$1:$E$100,2,FALSE)</f>
        <v>Retribuzioni in denaro OTD</v>
      </c>
      <c r="L97" s="132">
        <v>1410</v>
      </c>
      <c r="M97" s="169" t="s">
        <v>1160</v>
      </c>
      <c r="N97" s="567" t="s">
        <v>2024</v>
      </c>
    </row>
    <row r="98" spans="1:14" ht="13.5" customHeight="1" outlineLevel="2">
      <c r="A98" s="747"/>
      <c r="B98" s="750"/>
      <c r="C98" s="752"/>
      <c r="D98" s="758" t="s">
        <v>1622</v>
      </c>
      <c r="E98" s="187">
        <v>0.245</v>
      </c>
      <c r="F98" s="104">
        <v>63320</v>
      </c>
      <c r="G98" s="90" t="s">
        <v>9</v>
      </c>
      <c r="H98" s="91">
        <v>1</v>
      </c>
      <c r="I98" s="91">
        <v>1</v>
      </c>
      <c r="J98" s="231" t="s">
        <v>1378</v>
      </c>
      <c r="K98" s="119" t="str">
        <f>VLOOKUP(J98,'PF Uscite Sp. Corr.'!$C$1:$E$100,2,FALSE)</f>
        <v>Contributi sociali a carico dell'ente OTD</v>
      </c>
      <c r="L98" s="132">
        <v>1410</v>
      </c>
      <c r="M98" s="169" t="s">
        <v>1160</v>
      </c>
      <c r="N98" s="567" t="s">
        <v>2024</v>
      </c>
    </row>
    <row r="99" spans="1:14" ht="13.5" customHeight="1" outlineLevel="2">
      <c r="A99" s="747"/>
      <c r="B99" s="750"/>
      <c r="C99" s="752"/>
      <c r="D99" s="759"/>
      <c r="E99" s="187">
        <v>0.039</v>
      </c>
      <c r="F99" s="89">
        <v>10195</v>
      </c>
      <c r="G99" s="90" t="s">
        <v>9</v>
      </c>
      <c r="H99" s="91">
        <v>1</v>
      </c>
      <c r="I99" s="91">
        <v>1</v>
      </c>
      <c r="J99" s="231" t="s">
        <v>1320</v>
      </c>
      <c r="K99" s="119" t="str">
        <f>VLOOKUP(J99,'PF Uscite Sp. Corr.'!$C$1:$E$100,2,FALSE)</f>
        <v>Contributi indennità fine rapporto OTD</v>
      </c>
      <c r="L99" s="131">
        <v>1410</v>
      </c>
      <c r="M99" s="167" t="s">
        <v>1160</v>
      </c>
      <c r="N99" s="567" t="s">
        <v>2024</v>
      </c>
    </row>
    <row r="100" spans="1:14" ht="13.5" customHeight="1" outlineLevel="2">
      <c r="A100" s="747"/>
      <c r="B100" s="750"/>
      <c r="C100" s="752"/>
      <c r="D100" s="184" t="s">
        <v>1620</v>
      </c>
      <c r="E100" s="188">
        <v>0.042</v>
      </c>
      <c r="F100" s="89">
        <v>10950</v>
      </c>
      <c r="G100" s="90" t="s">
        <v>9</v>
      </c>
      <c r="H100" s="91">
        <v>1</v>
      </c>
      <c r="I100" s="91">
        <v>1</v>
      </c>
      <c r="J100" s="232">
        <v>10</v>
      </c>
      <c r="K100" s="119" t="str">
        <f>VLOOKUP(J100,'PF Uscite Sp. Corr.'!$C$1:$E$100,2,FALSE)</f>
        <v>Buoni Pasto Operai</v>
      </c>
      <c r="L100" s="131">
        <v>1410</v>
      </c>
      <c r="M100" s="167" t="s">
        <v>1160</v>
      </c>
      <c r="N100" s="123" t="s">
        <v>2023</v>
      </c>
    </row>
    <row r="101" spans="1:14" ht="13.5" customHeight="1" outlineLevel="2">
      <c r="A101" s="748"/>
      <c r="B101" s="751"/>
      <c r="C101" s="753"/>
      <c r="D101" s="154"/>
      <c r="E101" s="189">
        <v>0.054</v>
      </c>
      <c r="F101" s="145">
        <v>13900</v>
      </c>
      <c r="G101" s="134" t="s">
        <v>9</v>
      </c>
      <c r="H101" s="216">
        <v>1</v>
      </c>
      <c r="I101" s="216">
        <v>2</v>
      </c>
      <c r="J101" s="233">
        <v>11</v>
      </c>
      <c r="K101" s="119" t="str">
        <f>VLOOKUP(J101,'PF Uscite Sp. Corr.'!$C$1:$E$100,2,FALSE)</f>
        <v>Imposta regionale sulle attività produttive (IRAP)</v>
      </c>
      <c r="L101" s="419">
        <v>1410</v>
      </c>
      <c r="M101" s="168" t="s">
        <v>1160</v>
      </c>
      <c r="N101" s="567" t="s">
        <v>2024</v>
      </c>
    </row>
    <row r="102" spans="1:14" s="215" customFormat="1" ht="13.5" customHeight="1" outlineLevel="1">
      <c r="A102" s="160"/>
      <c r="B102" s="161"/>
      <c r="C102" s="210"/>
      <c r="D102" s="191">
        <v>258500</v>
      </c>
      <c r="E102" s="234">
        <f>SUM(E97:E101)</f>
        <v>1</v>
      </c>
      <c r="F102" s="211">
        <f>SUBTOTAL(9,F97:F101)</f>
        <v>258500</v>
      </c>
      <c r="G102" s="212"/>
      <c r="H102" s="179"/>
      <c r="I102" s="179"/>
      <c r="J102" s="213"/>
      <c r="K102" s="162"/>
      <c r="L102" s="439" t="s">
        <v>1595</v>
      </c>
      <c r="M102" s="435"/>
      <c r="N102" s="214"/>
    </row>
    <row r="103" spans="1:14" ht="13.5" customHeight="1" outlineLevel="2">
      <c r="A103" s="746" t="s">
        <v>588</v>
      </c>
      <c r="B103" s="749" t="s">
        <v>759</v>
      </c>
      <c r="C103" s="754">
        <v>2018</v>
      </c>
      <c r="D103" s="64"/>
      <c r="E103" s="187">
        <f>59.6%+2.2%</f>
        <v>0.618</v>
      </c>
      <c r="F103" s="104">
        <v>83300</v>
      </c>
      <c r="G103" s="98" t="s">
        <v>9</v>
      </c>
      <c r="H103" s="91">
        <v>1</v>
      </c>
      <c r="I103" s="91">
        <v>1</v>
      </c>
      <c r="J103" s="231" t="s">
        <v>886</v>
      </c>
      <c r="K103" s="119" t="str">
        <f>VLOOKUP(J103,'PF Uscite Sp. Corr.'!$C$1:$E$100,2,FALSE)</f>
        <v>Retribuzioni in denaro OTD</v>
      </c>
      <c r="L103" s="132">
        <v>1420</v>
      </c>
      <c r="M103" s="169" t="s">
        <v>1163</v>
      </c>
      <c r="N103" s="567" t="s">
        <v>2024</v>
      </c>
    </row>
    <row r="104" spans="1:14" ht="13.5" customHeight="1" outlineLevel="2">
      <c r="A104" s="747"/>
      <c r="B104" s="750"/>
      <c r="C104" s="752"/>
      <c r="D104" s="1"/>
      <c r="E104" s="187">
        <v>0.245</v>
      </c>
      <c r="F104" s="89">
        <v>33000</v>
      </c>
      <c r="G104" s="90" t="s">
        <v>9</v>
      </c>
      <c r="H104" s="91">
        <v>1</v>
      </c>
      <c r="I104" s="91">
        <v>1</v>
      </c>
      <c r="J104" s="231" t="s">
        <v>1378</v>
      </c>
      <c r="K104" s="119" t="str">
        <f>VLOOKUP(J104,'PF Uscite Sp. Corr.'!$C$1:$E$100,2,FALSE)</f>
        <v>Contributi sociali a carico dell'ente OTD</v>
      </c>
      <c r="L104" s="131">
        <v>1420</v>
      </c>
      <c r="M104" s="167" t="s">
        <v>1163</v>
      </c>
      <c r="N104" s="567" t="s">
        <v>2024</v>
      </c>
    </row>
    <row r="105" spans="1:14" ht="13.5" customHeight="1" outlineLevel="2">
      <c r="A105" s="747"/>
      <c r="B105" s="750"/>
      <c r="C105" s="752"/>
      <c r="D105" s="4" t="s">
        <v>1615</v>
      </c>
      <c r="E105" s="187">
        <v>0.039</v>
      </c>
      <c r="F105" s="89">
        <v>5400</v>
      </c>
      <c r="G105" s="90" t="s">
        <v>9</v>
      </c>
      <c r="H105" s="91">
        <v>1</v>
      </c>
      <c r="I105" s="91">
        <v>1</v>
      </c>
      <c r="J105" s="231" t="s">
        <v>1320</v>
      </c>
      <c r="K105" s="119" t="str">
        <f>VLOOKUP(J105,'PF Uscite Sp. Corr.'!$C$1:$E$100,2,FALSE)</f>
        <v>Contributi indennità fine rapporto OTD</v>
      </c>
      <c r="L105" s="131">
        <v>1420</v>
      </c>
      <c r="M105" s="167" t="s">
        <v>1163</v>
      </c>
      <c r="N105" s="567" t="s">
        <v>2024</v>
      </c>
    </row>
    <row r="106" spans="1:14" ht="13.5" customHeight="1" outlineLevel="2">
      <c r="A106" s="747"/>
      <c r="B106" s="750"/>
      <c r="C106" s="752"/>
      <c r="D106" s="184" t="s">
        <v>1620</v>
      </c>
      <c r="E106" s="188">
        <v>0.044</v>
      </c>
      <c r="F106" s="89">
        <v>6000</v>
      </c>
      <c r="G106" s="90" t="s">
        <v>9</v>
      </c>
      <c r="H106" s="91">
        <v>1</v>
      </c>
      <c r="I106" s="91">
        <v>1</v>
      </c>
      <c r="J106" s="232">
        <v>10</v>
      </c>
      <c r="K106" s="119" t="str">
        <f>VLOOKUP(J106,'PF Uscite Sp. Corr.'!$C$1:$E$100,2,FALSE)</f>
        <v>Buoni Pasto Operai</v>
      </c>
      <c r="L106" s="131">
        <v>1420</v>
      </c>
      <c r="M106" s="167" t="s">
        <v>1163</v>
      </c>
      <c r="N106" s="123" t="s">
        <v>2023</v>
      </c>
    </row>
    <row r="107" spans="1:14" ht="13.5" customHeight="1" outlineLevel="2">
      <c r="A107" s="748"/>
      <c r="B107" s="751"/>
      <c r="C107" s="753"/>
      <c r="D107" s="1"/>
      <c r="E107" s="189">
        <v>0.054</v>
      </c>
      <c r="F107" s="89">
        <v>7300</v>
      </c>
      <c r="G107" s="134" t="s">
        <v>9</v>
      </c>
      <c r="H107" s="216">
        <v>1</v>
      </c>
      <c r="I107" s="216">
        <v>2</v>
      </c>
      <c r="J107" s="233">
        <v>11</v>
      </c>
      <c r="K107" s="119" t="str">
        <f>VLOOKUP(J107,'PF Uscite Sp. Corr.'!$C$1:$E$100,2,FALSE)</f>
        <v>Imposta regionale sulle attività produttive (IRAP)</v>
      </c>
      <c r="L107" s="131">
        <v>1420</v>
      </c>
      <c r="M107" s="167" t="s">
        <v>1163</v>
      </c>
      <c r="N107" s="567" t="s">
        <v>2024</v>
      </c>
    </row>
    <row r="108" spans="1:14" s="215" customFormat="1" ht="13.5" customHeight="1" outlineLevel="1">
      <c r="A108" s="160"/>
      <c r="B108" s="161"/>
      <c r="C108" s="210"/>
      <c r="D108" s="191">
        <v>135000</v>
      </c>
      <c r="E108" s="234">
        <f>SUM(E103:E107)</f>
        <v>1</v>
      </c>
      <c r="F108" s="211">
        <f>SUBTOTAL(9,F103:F107)</f>
        <v>135000</v>
      </c>
      <c r="G108" s="212"/>
      <c r="H108" s="179"/>
      <c r="I108" s="179"/>
      <c r="J108" s="213"/>
      <c r="K108" s="162"/>
      <c r="L108" s="439" t="s">
        <v>1596</v>
      </c>
      <c r="M108" s="435"/>
      <c r="N108" s="214"/>
    </row>
    <row r="109" spans="1:14" ht="13.5" customHeight="1" outlineLevel="2">
      <c r="A109" s="746" t="s">
        <v>588</v>
      </c>
      <c r="B109" s="749" t="s">
        <v>759</v>
      </c>
      <c r="C109" s="754">
        <v>2018</v>
      </c>
      <c r="E109" s="187">
        <v>0.651</v>
      </c>
      <c r="F109" s="230">
        <f>D$114*E109</f>
        <v>16275</v>
      </c>
      <c r="G109" s="98" t="s">
        <v>9</v>
      </c>
      <c r="H109" s="91">
        <v>1</v>
      </c>
      <c r="I109" s="91">
        <v>1</v>
      </c>
      <c r="J109" s="231" t="s">
        <v>886</v>
      </c>
      <c r="K109" s="119" t="str">
        <f>VLOOKUP(J109,'PF Uscite Sp. Corr.'!$C$1:$E$100,2,FALSE)</f>
        <v>Retribuzioni in denaro OTD</v>
      </c>
      <c r="L109" s="132">
        <v>1430</v>
      </c>
      <c r="M109" s="169" t="s">
        <v>1166</v>
      </c>
      <c r="N109" s="567" t="s">
        <v>2024</v>
      </c>
    </row>
    <row r="110" spans="1:14" ht="13.5" customHeight="1" outlineLevel="2">
      <c r="A110" s="747"/>
      <c r="B110" s="750"/>
      <c r="C110" s="752"/>
      <c r="D110" s="103" t="s">
        <v>1616</v>
      </c>
      <c r="E110" s="187">
        <v>0.259</v>
      </c>
      <c r="F110" s="230">
        <f aca="true" t="shared" si="3" ref="F110:F113">D$114*E110</f>
        <v>6475</v>
      </c>
      <c r="G110" s="90" t="s">
        <v>9</v>
      </c>
      <c r="H110" s="91">
        <v>1</v>
      </c>
      <c r="I110" s="91">
        <v>1</v>
      </c>
      <c r="J110" s="231" t="s">
        <v>1378</v>
      </c>
      <c r="K110" s="119" t="str">
        <f>VLOOKUP(J110,'PF Uscite Sp. Corr.'!$C$1:$E$100,2,FALSE)</f>
        <v>Contributi sociali a carico dell'ente OTD</v>
      </c>
      <c r="L110" s="132">
        <v>1430</v>
      </c>
      <c r="M110" s="169" t="s">
        <v>1166</v>
      </c>
      <c r="N110" s="567" t="s">
        <v>2024</v>
      </c>
    </row>
    <row r="111" spans="1:14" ht="13.5" customHeight="1" outlineLevel="2">
      <c r="A111" s="747"/>
      <c r="B111" s="750"/>
      <c r="C111" s="752"/>
      <c r="D111" s="184" t="s">
        <v>1620</v>
      </c>
      <c r="E111" s="187">
        <v>0.043</v>
      </c>
      <c r="F111" s="230">
        <f t="shared" si="3"/>
        <v>1075</v>
      </c>
      <c r="G111" s="90" t="s">
        <v>9</v>
      </c>
      <c r="H111" s="91">
        <v>1</v>
      </c>
      <c r="I111" s="91">
        <v>1</v>
      </c>
      <c r="J111" s="231" t="s">
        <v>1320</v>
      </c>
      <c r="K111" s="119" t="str">
        <f>VLOOKUP(J111,'PF Uscite Sp. Corr.'!$C$1:$E$100,2,FALSE)</f>
        <v>Contributi indennità fine rapporto OTD</v>
      </c>
      <c r="L111" s="132">
        <v>1430</v>
      </c>
      <c r="M111" s="169" t="s">
        <v>1166</v>
      </c>
      <c r="N111" s="567" t="s">
        <v>2024</v>
      </c>
    </row>
    <row r="112" spans="1:14" ht="13.5" customHeight="1" outlineLevel="2">
      <c r="A112" s="747"/>
      <c r="B112" s="750"/>
      <c r="C112" s="752"/>
      <c r="D112" s="138"/>
      <c r="E112" s="188">
        <v>0.047</v>
      </c>
      <c r="F112" s="230">
        <f t="shared" si="3"/>
        <v>1175</v>
      </c>
      <c r="G112" s="90" t="s">
        <v>9</v>
      </c>
      <c r="H112" s="91">
        <v>1</v>
      </c>
      <c r="I112" s="91">
        <v>1</v>
      </c>
      <c r="J112" s="232">
        <v>10</v>
      </c>
      <c r="K112" s="119" t="str">
        <f>VLOOKUP(J112,'PF Uscite Sp. Corr.'!$C$1:$E$100,2,FALSE)</f>
        <v>Buoni Pasto Operai</v>
      </c>
      <c r="L112" s="132">
        <v>1430</v>
      </c>
      <c r="M112" s="169" t="s">
        <v>1166</v>
      </c>
      <c r="N112" s="123" t="s">
        <v>2023</v>
      </c>
    </row>
    <row r="113" spans="1:14" ht="13.5" customHeight="1" outlineLevel="2">
      <c r="A113" s="748"/>
      <c r="B113" s="751"/>
      <c r="C113" s="753"/>
      <c r="D113" s="155"/>
      <c r="E113" s="189">
        <v>0</v>
      </c>
      <c r="F113" s="230">
        <f t="shared" si="3"/>
        <v>0</v>
      </c>
      <c r="G113" s="134" t="s">
        <v>9</v>
      </c>
      <c r="H113" s="216">
        <v>1</v>
      </c>
      <c r="I113" s="216">
        <v>2</v>
      </c>
      <c r="J113" s="233">
        <v>11</v>
      </c>
      <c r="K113" s="119" t="str">
        <f>VLOOKUP(J113,'PF Uscite Sp. Corr.'!$C$1:$E$100,2,FALSE)</f>
        <v>Imposta regionale sulle attività produttive (IRAP)</v>
      </c>
      <c r="L113" s="419">
        <v>1430</v>
      </c>
      <c r="M113" s="168" t="s">
        <v>1166</v>
      </c>
      <c r="N113" s="567" t="s">
        <v>2024</v>
      </c>
    </row>
    <row r="114" spans="1:14" s="215" customFormat="1" ht="13.5" customHeight="1" outlineLevel="1">
      <c r="A114" s="160"/>
      <c r="B114" s="161"/>
      <c r="C114" s="210"/>
      <c r="D114" s="191">
        <v>25000</v>
      </c>
      <c r="E114" s="234">
        <f>SUM(E109:E113)</f>
        <v>1</v>
      </c>
      <c r="F114" s="211">
        <f>SUBTOTAL(9,F109:F113)</f>
        <v>25000</v>
      </c>
      <c r="G114" s="212"/>
      <c r="H114" s="235"/>
      <c r="I114" s="235"/>
      <c r="J114" s="213"/>
      <c r="K114" s="162"/>
      <c r="L114" s="439" t="s">
        <v>1597</v>
      </c>
      <c r="M114" s="435"/>
      <c r="N114" s="236"/>
    </row>
    <row r="115" spans="1:14" ht="13.5" customHeight="1" outlineLevel="2">
      <c r="A115" s="746" t="s">
        <v>588</v>
      </c>
      <c r="B115" s="749" t="s">
        <v>599</v>
      </c>
      <c r="C115" s="754">
        <v>2018</v>
      </c>
      <c r="E115" s="190">
        <v>0.82</v>
      </c>
      <c r="F115" s="230">
        <f>D$120*E115</f>
        <v>42230</v>
      </c>
      <c r="G115" s="98" t="s">
        <v>36</v>
      </c>
      <c r="H115" s="91">
        <v>1</v>
      </c>
      <c r="I115" s="91">
        <v>1</v>
      </c>
      <c r="J115" s="231" t="s">
        <v>886</v>
      </c>
      <c r="K115" s="119" t="str">
        <f>VLOOKUP(J115,'PF Uscite Sp. Corr.'!$C$1:$E$100,2,FALSE)</f>
        <v>Retribuzioni in denaro OTD</v>
      </c>
      <c r="L115" s="132">
        <v>1518</v>
      </c>
      <c r="M115" s="169" t="s">
        <v>1180</v>
      </c>
      <c r="N115" s="567" t="s">
        <v>2024</v>
      </c>
    </row>
    <row r="116" spans="1:14" ht="13.5" customHeight="1" outlineLevel="2">
      <c r="A116" s="747"/>
      <c r="B116" s="750"/>
      <c r="C116" s="752"/>
      <c r="D116" s="114" t="s">
        <v>1617</v>
      </c>
      <c r="E116" s="187">
        <v>0.085</v>
      </c>
      <c r="F116" s="230">
        <f aca="true" t="shared" si="4" ref="F116:F119">D$120*E116</f>
        <v>4377.5</v>
      </c>
      <c r="G116" s="98" t="s">
        <v>36</v>
      </c>
      <c r="H116" s="91">
        <v>1</v>
      </c>
      <c r="I116" s="91">
        <v>1</v>
      </c>
      <c r="J116" s="231" t="s">
        <v>1378</v>
      </c>
      <c r="K116" s="119" t="str">
        <f>VLOOKUP(J116,'PF Uscite Sp. Corr.'!$C$1:$E$100,2,FALSE)</f>
        <v>Contributi sociali a carico dell'ente OTD</v>
      </c>
      <c r="L116" s="132">
        <v>1518</v>
      </c>
      <c r="M116" s="169" t="s">
        <v>1180</v>
      </c>
      <c r="N116" s="567" t="s">
        <v>2024</v>
      </c>
    </row>
    <row r="117" spans="1:14" ht="13.5" customHeight="1" outlineLevel="2">
      <c r="A117" s="747"/>
      <c r="B117" s="750"/>
      <c r="C117" s="752"/>
      <c r="D117" s="184" t="s">
        <v>1620</v>
      </c>
      <c r="E117" s="187">
        <v>0.051</v>
      </c>
      <c r="F117" s="230">
        <f t="shared" si="4"/>
        <v>2626.5</v>
      </c>
      <c r="G117" s="98" t="s">
        <v>36</v>
      </c>
      <c r="H117" s="91">
        <v>1</v>
      </c>
      <c r="I117" s="91">
        <v>1</v>
      </c>
      <c r="J117" s="231" t="s">
        <v>1320</v>
      </c>
      <c r="K117" s="119" t="str">
        <f>VLOOKUP(J117,'PF Uscite Sp. Corr.'!$C$1:$E$100,2,FALSE)</f>
        <v>Contributi indennità fine rapporto OTD</v>
      </c>
      <c r="L117" s="132">
        <v>1518</v>
      </c>
      <c r="M117" s="169" t="s">
        <v>1180</v>
      </c>
      <c r="N117" s="567" t="s">
        <v>2024</v>
      </c>
    </row>
    <row r="118" spans="1:14" ht="13.5" customHeight="1" outlineLevel="2">
      <c r="A118" s="747"/>
      <c r="B118" s="750"/>
      <c r="C118" s="752"/>
      <c r="D118" s="138"/>
      <c r="E118" s="188">
        <v>0.044</v>
      </c>
      <c r="F118" s="230">
        <f t="shared" si="4"/>
        <v>2266</v>
      </c>
      <c r="G118" s="98" t="s">
        <v>36</v>
      </c>
      <c r="H118" s="91">
        <v>1</v>
      </c>
      <c r="I118" s="91">
        <v>1</v>
      </c>
      <c r="J118" s="232">
        <v>10</v>
      </c>
      <c r="K118" s="119" t="str">
        <f>VLOOKUP(J118,'PF Uscite Sp. Corr.'!$C$1:$E$100,2,FALSE)</f>
        <v>Buoni Pasto Operai</v>
      </c>
      <c r="L118" s="132">
        <v>1518</v>
      </c>
      <c r="M118" s="169" t="s">
        <v>1180</v>
      </c>
      <c r="N118" s="123" t="s">
        <v>2023</v>
      </c>
    </row>
    <row r="119" spans="1:14" ht="13.5" customHeight="1" outlineLevel="2">
      <c r="A119" s="748"/>
      <c r="B119" s="751"/>
      <c r="C119" s="753"/>
      <c r="D119" s="154"/>
      <c r="E119" s="189">
        <v>0</v>
      </c>
      <c r="F119" s="230">
        <f t="shared" si="4"/>
        <v>0</v>
      </c>
      <c r="G119" s="134" t="s">
        <v>36</v>
      </c>
      <c r="H119" s="216">
        <v>1</v>
      </c>
      <c r="I119" s="216">
        <v>2</v>
      </c>
      <c r="J119" s="233">
        <v>11</v>
      </c>
      <c r="K119" s="119" t="str">
        <f>VLOOKUP(J119,'PF Uscite Sp. Corr.'!$C$1:$E$100,2,FALSE)</f>
        <v>Imposta regionale sulle attività produttive (IRAP)</v>
      </c>
      <c r="L119" s="419">
        <v>1518</v>
      </c>
      <c r="M119" s="168" t="s">
        <v>1180</v>
      </c>
      <c r="N119" s="567" t="s">
        <v>2024</v>
      </c>
    </row>
    <row r="120" spans="1:14" s="215" customFormat="1" ht="13.5" customHeight="1" outlineLevel="1">
      <c r="A120" s="160"/>
      <c r="B120" s="161"/>
      <c r="C120" s="210"/>
      <c r="D120" s="191">
        <v>51500</v>
      </c>
      <c r="E120" s="234">
        <f>SUM(E115:E119)</f>
        <v>1</v>
      </c>
      <c r="F120" s="211">
        <f>SUBTOTAL(9,F115:F119)</f>
        <v>51500</v>
      </c>
      <c r="G120" s="212"/>
      <c r="H120" s="179"/>
      <c r="I120" s="179"/>
      <c r="J120" s="213"/>
      <c r="K120" s="162"/>
      <c r="L120" s="439" t="s">
        <v>1598</v>
      </c>
      <c r="M120" s="435"/>
      <c r="N120" s="214"/>
    </row>
    <row r="121" spans="1:14" ht="13.5" customHeight="1" outlineLevel="2">
      <c r="A121" s="746" t="s">
        <v>588</v>
      </c>
      <c r="B121" s="749" t="s">
        <v>599</v>
      </c>
      <c r="C121" s="754">
        <v>2018</v>
      </c>
      <c r="D121" s="64"/>
      <c r="E121" s="187">
        <v>0.762</v>
      </c>
      <c r="F121" s="230">
        <v>201212</v>
      </c>
      <c r="G121" s="98" t="s">
        <v>36</v>
      </c>
      <c r="H121" s="91">
        <v>1</v>
      </c>
      <c r="I121" s="91">
        <v>1</v>
      </c>
      <c r="J121" s="231" t="s">
        <v>886</v>
      </c>
      <c r="K121" s="119" t="str">
        <f>VLOOKUP(J121,'PF Uscite Sp. Corr.'!$C$1:$E$100,2,FALSE)</f>
        <v>Retribuzioni in denaro OTD</v>
      </c>
      <c r="L121" s="132">
        <v>1528</v>
      </c>
      <c r="M121" s="169" t="s">
        <v>1187</v>
      </c>
      <c r="N121" s="567" t="s">
        <v>2024</v>
      </c>
    </row>
    <row r="122" spans="1:14" ht="13.5" customHeight="1" outlineLevel="2">
      <c r="A122" s="747"/>
      <c r="B122" s="750"/>
      <c r="C122" s="752"/>
      <c r="D122" s="155" t="s">
        <v>1618</v>
      </c>
      <c r="E122" s="187">
        <v>0.08</v>
      </c>
      <c r="F122" s="230">
        <v>21125</v>
      </c>
      <c r="G122" s="98" t="s">
        <v>36</v>
      </c>
      <c r="H122" s="91">
        <v>1</v>
      </c>
      <c r="I122" s="91">
        <v>1</v>
      </c>
      <c r="J122" s="231" t="s">
        <v>1378</v>
      </c>
      <c r="K122" s="119" t="str">
        <f>VLOOKUP(J122,'PF Uscite Sp. Corr.'!$C$1:$E$100,2,FALSE)</f>
        <v>Contributi sociali a carico dell'ente OTD</v>
      </c>
      <c r="L122" s="132">
        <v>1528</v>
      </c>
      <c r="M122" s="169" t="s">
        <v>1187</v>
      </c>
      <c r="N122" s="567" t="s">
        <v>2024</v>
      </c>
    </row>
    <row r="123" spans="1:14" ht="13.5" customHeight="1" outlineLevel="2">
      <c r="A123" s="747"/>
      <c r="B123" s="750"/>
      <c r="C123" s="752"/>
      <c r="D123" s="184" t="s">
        <v>1620</v>
      </c>
      <c r="E123" s="187">
        <v>0.047</v>
      </c>
      <c r="F123" s="230">
        <v>12410</v>
      </c>
      <c r="G123" s="98" t="s">
        <v>36</v>
      </c>
      <c r="H123" s="91">
        <v>1</v>
      </c>
      <c r="I123" s="91">
        <v>1</v>
      </c>
      <c r="J123" s="231" t="s">
        <v>1320</v>
      </c>
      <c r="K123" s="119" t="str">
        <f>VLOOKUP(J123,'PF Uscite Sp. Corr.'!$C$1:$E$100,2,FALSE)</f>
        <v>Contributi indennità fine rapporto OTD</v>
      </c>
      <c r="L123" s="132">
        <v>1528</v>
      </c>
      <c r="M123" s="169" t="s">
        <v>1187</v>
      </c>
      <c r="N123" s="567" t="s">
        <v>2024</v>
      </c>
    </row>
    <row r="124" spans="1:14" ht="13.5" customHeight="1" outlineLevel="2">
      <c r="A124" s="747"/>
      <c r="B124" s="750"/>
      <c r="C124" s="752"/>
      <c r="D124" s="138"/>
      <c r="E124" s="188">
        <v>0.045</v>
      </c>
      <c r="F124" s="230">
        <v>11883</v>
      </c>
      <c r="G124" s="98" t="s">
        <v>36</v>
      </c>
      <c r="H124" s="91">
        <v>1</v>
      </c>
      <c r="I124" s="91">
        <v>1</v>
      </c>
      <c r="J124" s="232">
        <v>10</v>
      </c>
      <c r="K124" s="119" t="str">
        <f>VLOOKUP(J124,'PF Uscite Sp. Corr.'!$C$1:$E$100,2,FALSE)</f>
        <v>Buoni Pasto Operai</v>
      </c>
      <c r="L124" s="132">
        <v>1528</v>
      </c>
      <c r="M124" s="169" t="s">
        <v>1187</v>
      </c>
      <c r="N124" s="123" t="s">
        <v>2023</v>
      </c>
    </row>
    <row r="125" spans="1:14" ht="13.5" customHeight="1" outlineLevel="2">
      <c r="A125" s="748"/>
      <c r="B125" s="751"/>
      <c r="C125" s="753"/>
      <c r="E125" s="189">
        <v>0.066</v>
      </c>
      <c r="F125" s="230">
        <v>17428</v>
      </c>
      <c r="G125" s="134" t="s">
        <v>36</v>
      </c>
      <c r="H125" s="216">
        <v>1</v>
      </c>
      <c r="I125" s="216">
        <v>2</v>
      </c>
      <c r="J125" s="233">
        <v>11</v>
      </c>
      <c r="K125" s="119" t="str">
        <f>VLOOKUP(J125,'PF Uscite Sp. Corr.'!$C$1:$E$100,2,FALSE)</f>
        <v>Imposta regionale sulle attività produttive (IRAP)</v>
      </c>
      <c r="L125" s="419">
        <v>1528</v>
      </c>
      <c r="M125" s="168" t="s">
        <v>1187</v>
      </c>
      <c r="N125" s="567" t="s">
        <v>2024</v>
      </c>
    </row>
    <row r="126" spans="1:14" s="215" customFormat="1" ht="13.5" customHeight="1" outlineLevel="1">
      <c r="A126" s="160"/>
      <c r="B126" s="161"/>
      <c r="C126" s="210"/>
      <c r="D126" s="191">
        <v>264058</v>
      </c>
      <c r="E126" s="234">
        <f>SUM(E121:E125)</f>
        <v>1</v>
      </c>
      <c r="F126" s="211">
        <f>SUBTOTAL(9,F121:F125)</f>
        <v>264058</v>
      </c>
      <c r="G126" s="212"/>
      <c r="H126" s="179"/>
      <c r="I126" s="179"/>
      <c r="J126" s="213"/>
      <c r="K126" s="162"/>
      <c r="L126" s="439" t="s">
        <v>1599</v>
      </c>
      <c r="M126" s="435"/>
      <c r="N126" s="214"/>
    </row>
    <row r="127" spans="1:14" ht="13.5" customHeight="1" outlineLevel="2">
      <c r="A127" s="746" t="s">
        <v>588</v>
      </c>
      <c r="B127" s="749" t="s">
        <v>599</v>
      </c>
      <c r="C127" s="754">
        <v>2018</v>
      </c>
      <c r="D127" s="760" t="s">
        <v>1623</v>
      </c>
      <c r="E127" s="187">
        <v>0.797</v>
      </c>
      <c r="F127" s="230">
        <v>91780</v>
      </c>
      <c r="G127" s="98" t="s">
        <v>36</v>
      </c>
      <c r="H127" s="91">
        <v>1</v>
      </c>
      <c r="I127" s="91">
        <v>1</v>
      </c>
      <c r="J127" s="231" t="s">
        <v>886</v>
      </c>
      <c r="K127" s="119" t="str">
        <f>VLOOKUP(J127,'PF Uscite Sp. Corr.'!$C$1:$E$100,2,FALSE)</f>
        <v>Retribuzioni in denaro OTD</v>
      </c>
      <c r="L127" s="132">
        <v>1531</v>
      </c>
      <c r="M127" s="169" t="s">
        <v>1191</v>
      </c>
      <c r="N127" s="567" t="s">
        <v>2024</v>
      </c>
    </row>
    <row r="128" spans="1:14" ht="13.5" customHeight="1" outlineLevel="2">
      <c r="A128" s="747"/>
      <c r="B128" s="750"/>
      <c r="C128" s="752"/>
      <c r="D128" s="758"/>
      <c r="E128" s="187">
        <v>0.103</v>
      </c>
      <c r="F128" s="230">
        <v>11860</v>
      </c>
      <c r="G128" s="98" t="s">
        <v>36</v>
      </c>
      <c r="H128" s="91">
        <v>1</v>
      </c>
      <c r="I128" s="91">
        <v>1</v>
      </c>
      <c r="J128" s="231" t="s">
        <v>1378</v>
      </c>
      <c r="K128" s="119" t="str">
        <f>VLOOKUP(J128,'PF Uscite Sp. Corr.'!$C$1:$E$100,2,FALSE)</f>
        <v>Contributi sociali a carico dell'ente OTD</v>
      </c>
      <c r="L128" s="131">
        <v>1531</v>
      </c>
      <c r="M128" s="167" t="s">
        <v>1191</v>
      </c>
      <c r="N128" s="567" t="s">
        <v>2024</v>
      </c>
    </row>
    <row r="129" spans="1:14" ht="13.5" customHeight="1" outlineLevel="2">
      <c r="A129" s="747"/>
      <c r="B129" s="750"/>
      <c r="C129" s="752"/>
      <c r="D129" s="759"/>
      <c r="E129" s="187">
        <v>0.054</v>
      </c>
      <c r="F129" s="230">
        <v>6218</v>
      </c>
      <c r="G129" s="98" t="s">
        <v>36</v>
      </c>
      <c r="H129" s="91">
        <v>1</v>
      </c>
      <c r="I129" s="91">
        <v>1</v>
      </c>
      <c r="J129" s="231" t="s">
        <v>1320</v>
      </c>
      <c r="K129" s="119" t="str">
        <f>VLOOKUP(J129,'PF Uscite Sp. Corr.'!$C$1:$E$100,2,FALSE)</f>
        <v>Contributi indennità fine rapporto OTD</v>
      </c>
      <c r="L129" s="131">
        <v>1531</v>
      </c>
      <c r="M129" s="167" t="s">
        <v>1191</v>
      </c>
      <c r="N129" s="567" t="s">
        <v>2024</v>
      </c>
    </row>
    <row r="130" spans="1:14" ht="13.5" customHeight="1" outlineLevel="2">
      <c r="A130" s="747"/>
      <c r="B130" s="750"/>
      <c r="C130" s="752"/>
      <c r="D130" s="184" t="s">
        <v>1620</v>
      </c>
      <c r="E130" s="188">
        <v>0.046</v>
      </c>
      <c r="F130" s="230">
        <v>5297</v>
      </c>
      <c r="G130" s="98" t="s">
        <v>36</v>
      </c>
      <c r="H130" s="91">
        <v>1</v>
      </c>
      <c r="I130" s="91">
        <v>1</v>
      </c>
      <c r="J130" s="232">
        <v>10</v>
      </c>
      <c r="K130" s="119" t="str">
        <f>VLOOKUP(J130,'PF Uscite Sp. Corr.'!$C$1:$E$100,2,FALSE)</f>
        <v>Buoni Pasto Operai</v>
      </c>
      <c r="L130" s="419">
        <v>1531</v>
      </c>
      <c r="M130" s="168" t="s">
        <v>1191</v>
      </c>
      <c r="N130" s="123" t="s">
        <v>2023</v>
      </c>
    </row>
    <row r="131" spans="1:14" ht="13.5" customHeight="1" outlineLevel="2">
      <c r="A131" s="748"/>
      <c r="B131" s="751"/>
      <c r="C131" s="753"/>
      <c r="D131" s="142"/>
      <c r="E131" s="189">
        <v>0</v>
      </c>
      <c r="F131" s="230">
        <f aca="true" t="shared" si="5" ref="F131">D$132*E131</f>
        <v>0</v>
      </c>
      <c r="G131" s="134" t="s">
        <v>36</v>
      </c>
      <c r="H131" s="216">
        <v>1</v>
      </c>
      <c r="I131" s="216">
        <v>2</v>
      </c>
      <c r="J131" s="233">
        <v>11</v>
      </c>
      <c r="K131" s="119" t="str">
        <f>VLOOKUP(J131,'PF Uscite Sp. Corr.'!$C$1:$E$100,2,FALSE)</f>
        <v>Imposta regionale sulle attività produttive (IRAP)</v>
      </c>
      <c r="L131" s="419">
        <v>1531</v>
      </c>
      <c r="M131" s="168" t="s">
        <v>1191</v>
      </c>
      <c r="N131" s="567" t="s">
        <v>2024</v>
      </c>
    </row>
    <row r="132" spans="1:14" s="215" customFormat="1" ht="13.5" customHeight="1" outlineLevel="1">
      <c r="A132" s="160"/>
      <c r="B132" s="161"/>
      <c r="C132" s="210"/>
      <c r="D132" s="191">
        <v>115155</v>
      </c>
      <c r="E132" s="234">
        <f>SUM(E127:E131)</f>
        <v>1</v>
      </c>
      <c r="F132" s="211">
        <f>SUBTOTAL(9,F127:F131)</f>
        <v>115155</v>
      </c>
      <c r="G132" s="212"/>
      <c r="H132" s="179"/>
      <c r="I132" s="179"/>
      <c r="J132" s="213"/>
      <c r="K132" s="162"/>
      <c r="L132" s="439" t="s">
        <v>1600</v>
      </c>
      <c r="M132" s="435"/>
      <c r="N132" s="214"/>
    </row>
    <row r="133" spans="1:14" ht="13.5" customHeight="1" outlineLevel="2">
      <c r="A133" s="746" t="s">
        <v>588</v>
      </c>
      <c r="B133" s="749" t="s">
        <v>599</v>
      </c>
      <c r="C133" s="754">
        <v>2018</v>
      </c>
      <c r="D133" s="761" t="s">
        <v>726</v>
      </c>
      <c r="E133" s="187">
        <v>0.817</v>
      </c>
      <c r="F133" s="230">
        <v>28990</v>
      </c>
      <c r="G133" s="98" t="s">
        <v>36</v>
      </c>
      <c r="H133" s="91">
        <v>1</v>
      </c>
      <c r="I133" s="91">
        <v>1</v>
      </c>
      <c r="J133" s="231" t="s">
        <v>886</v>
      </c>
      <c r="K133" s="119" t="str">
        <f>VLOOKUP(J133,'PF Uscite Sp. Corr.'!$C$1:$E$100,2,FALSE)</f>
        <v>Retribuzioni in denaro OTD</v>
      </c>
      <c r="L133" s="132">
        <v>1532</v>
      </c>
      <c r="M133" s="169" t="s">
        <v>1192</v>
      </c>
      <c r="N133" s="567" t="s">
        <v>2024</v>
      </c>
    </row>
    <row r="134" spans="1:14" ht="13.5" customHeight="1" outlineLevel="2">
      <c r="A134" s="747"/>
      <c r="B134" s="750"/>
      <c r="C134" s="752"/>
      <c r="D134" s="762"/>
      <c r="E134" s="190">
        <v>0.085</v>
      </c>
      <c r="F134" s="230">
        <v>3016</v>
      </c>
      <c r="G134" s="98" t="s">
        <v>36</v>
      </c>
      <c r="H134" s="91">
        <v>1</v>
      </c>
      <c r="I134" s="91">
        <v>1</v>
      </c>
      <c r="J134" s="231" t="s">
        <v>1378</v>
      </c>
      <c r="K134" s="119" t="str">
        <f>VLOOKUP(J134,'PF Uscite Sp. Corr.'!$C$1:$E$100,2,FALSE)</f>
        <v>Contributi sociali a carico dell'ente OTD</v>
      </c>
      <c r="L134" s="131">
        <v>1532</v>
      </c>
      <c r="M134" s="167" t="s">
        <v>1192</v>
      </c>
      <c r="N134" s="567" t="s">
        <v>2024</v>
      </c>
    </row>
    <row r="135" spans="1:14" ht="13.5" customHeight="1" outlineLevel="2">
      <c r="A135" s="747"/>
      <c r="B135" s="750"/>
      <c r="C135" s="752"/>
      <c r="D135" s="763"/>
      <c r="E135" s="187">
        <v>0.05</v>
      </c>
      <c r="F135" s="230">
        <v>1774</v>
      </c>
      <c r="G135" s="98" t="s">
        <v>36</v>
      </c>
      <c r="H135" s="91">
        <v>1</v>
      </c>
      <c r="I135" s="91">
        <v>1</v>
      </c>
      <c r="J135" s="231" t="s">
        <v>1320</v>
      </c>
      <c r="K135" s="119" t="str">
        <f>VLOOKUP(J135,'PF Uscite Sp. Corr.'!$C$1:$E$100,2,FALSE)</f>
        <v>Contributi indennità fine rapporto OTD</v>
      </c>
      <c r="L135" s="131">
        <v>1532</v>
      </c>
      <c r="M135" s="167" t="s">
        <v>1192</v>
      </c>
      <c r="N135" s="567" t="s">
        <v>2024</v>
      </c>
    </row>
    <row r="136" spans="1:14" ht="13.5" customHeight="1" outlineLevel="2">
      <c r="A136" s="747"/>
      <c r="B136" s="750"/>
      <c r="C136" s="752"/>
      <c r="D136" s="184" t="s">
        <v>1620</v>
      </c>
      <c r="E136" s="188">
        <v>0.048</v>
      </c>
      <c r="F136" s="230">
        <v>1704</v>
      </c>
      <c r="G136" s="98" t="s">
        <v>36</v>
      </c>
      <c r="H136" s="91">
        <v>1</v>
      </c>
      <c r="I136" s="91">
        <v>1</v>
      </c>
      <c r="J136" s="232">
        <v>10</v>
      </c>
      <c r="K136" s="119" t="str">
        <f>VLOOKUP(J136,'PF Uscite Sp. Corr.'!$C$1:$E$100,2,FALSE)</f>
        <v>Buoni Pasto Operai</v>
      </c>
      <c r="L136" s="131">
        <v>1532</v>
      </c>
      <c r="M136" s="167" t="s">
        <v>1192</v>
      </c>
      <c r="N136" s="123" t="s">
        <v>2023</v>
      </c>
    </row>
    <row r="137" spans="1:14" ht="13.5" customHeight="1" outlineLevel="2">
      <c r="A137" s="748"/>
      <c r="B137" s="751"/>
      <c r="C137" s="753"/>
      <c r="D137" s="154"/>
      <c r="E137" s="189">
        <v>0</v>
      </c>
      <c r="F137" s="230">
        <f aca="true" t="shared" si="6" ref="F137">D$138*E137</f>
        <v>0</v>
      </c>
      <c r="G137" s="134" t="s">
        <v>36</v>
      </c>
      <c r="H137" s="216">
        <v>1</v>
      </c>
      <c r="I137" s="216">
        <v>2</v>
      </c>
      <c r="J137" s="233">
        <v>11</v>
      </c>
      <c r="K137" s="119" t="str">
        <f>VLOOKUP(J137,'PF Uscite Sp. Corr.'!$C$1:$E$100,2,FALSE)</f>
        <v>Imposta regionale sulle attività produttive (IRAP)</v>
      </c>
      <c r="L137" s="419">
        <v>1532</v>
      </c>
      <c r="M137" s="168" t="s">
        <v>1192</v>
      </c>
      <c r="N137" s="567" t="s">
        <v>2024</v>
      </c>
    </row>
    <row r="138" spans="1:14" s="215" customFormat="1" ht="13.5" customHeight="1" outlineLevel="1">
      <c r="A138" s="160"/>
      <c r="B138" s="161"/>
      <c r="C138" s="210"/>
      <c r="D138" s="191">
        <v>35484</v>
      </c>
      <c r="E138" s="234">
        <f>SUM(E133:E137)</f>
        <v>1</v>
      </c>
      <c r="F138" s="211">
        <f>SUBTOTAL(9,F133:F137)</f>
        <v>35484</v>
      </c>
      <c r="G138" s="212"/>
      <c r="H138" s="179"/>
      <c r="I138" s="179"/>
      <c r="J138" s="213"/>
      <c r="K138" s="162"/>
      <c r="L138" s="439" t="s">
        <v>1601</v>
      </c>
      <c r="M138" s="435"/>
      <c r="N138" s="214"/>
    </row>
    <row r="139" spans="1:14" ht="13.5" customHeight="1" outlineLevel="2">
      <c r="A139" s="740" t="s">
        <v>308</v>
      </c>
      <c r="B139" s="749" t="s">
        <v>384</v>
      </c>
      <c r="C139" s="754">
        <v>2018</v>
      </c>
      <c r="E139" s="187">
        <v>0.618</v>
      </c>
      <c r="F139" s="89">
        <v>6740</v>
      </c>
      <c r="G139" s="90" t="s">
        <v>36</v>
      </c>
      <c r="H139" s="91">
        <v>1</v>
      </c>
      <c r="I139" s="91">
        <v>1</v>
      </c>
      <c r="J139" s="231" t="s">
        <v>886</v>
      </c>
      <c r="K139" s="119" t="str">
        <f>VLOOKUP(J139,'PF Uscite Sp. Corr.'!$C$1:$E$100,2,FALSE)</f>
        <v>Retribuzioni in denaro OTD</v>
      </c>
      <c r="L139" s="131">
        <v>1551</v>
      </c>
      <c r="M139" s="167" t="s">
        <v>1197</v>
      </c>
      <c r="N139" s="567" t="s">
        <v>2024</v>
      </c>
    </row>
    <row r="140" spans="1:14" ht="13.5" customHeight="1" outlineLevel="2">
      <c r="A140" s="741"/>
      <c r="B140" s="750"/>
      <c r="C140" s="752"/>
      <c r="D140" s="774" t="s">
        <v>1624</v>
      </c>
      <c r="E140" s="187">
        <v>0.239</v>
      </c>
      <c r="F140" s="89">
        <v>2440</v>
      </c>
      <c r="G140" s="90" t="s">
        <v>36</v>
      </c>
      <c r="H140" s="91">
        <v>1</v>
      </c>
      <c r="I140" s="91">
        <v>1</v>
      </c>
      <c r="J140" s="231" t="s">
        <v>1378</v>
      </c>
      <c r="K140" s="119" t="str">
        <f>VLOOKUP(J140,'PF Uscite Sp. Corr.'!$C$1:$E$100,2,FALSE)</f>
        <v>Contributi sociali a carico dell'ente OTD</v>
      </c>
      <c r="L140" s="131">
        <v>1551</v>
      </c>
      <c r="M140" s="167" t="s">
        <v>1197</v>
      </c>
      <c r="N140" s="567" t="s">
        <v>2024</v>
      </c>
    </row>
    <row r="141" spans="1:14" ht="13.5" customHeight="1" outlineLevel="2">
      <c r="A141" s="741"/>
      <c r="B141" s="750"/>
      <c r="C141" s="752"/>
      <c r="D141" s="759"/>
      <c r="E141" s="188">
        <v>0.043</v>
      </c>
      <c r="F141" s="145">
        <v>410</v>
      </c>
      <c r="G141" s="134" t="s">
        <v>36</v>
      </c>
      <c r="H141" s="216">
        <v>1</v>
      </c>
      <c r="I141" s="91">
        <v>1</v>
      </c>
      <c r="J141" s="231" t="s">
        <v>1320</v>
      </c>
      <c r="K141" s="119" t="str">
        <f>VLOOKUP(J141,'PF Uscite Sp. Corr.'!$C$1:$E$100,2,FALSE)</f>
        <v>Contributi indennità fine rapporto OTD</v>
      </c>
      <c r="L141" s="419">
        <v>1551</v>
      </c>
      <c r="M141" s="168" t="s">
        <v>1197</v>
      </c>
      <c r="N141" s="567" t="s">
        <v>2024</v>
      </c>
    </row>
    <row r="142" spans="1:14" ht="13.5" customHeight="1" outlineLevel="2">
      <c r="A142" s="741"/>
      <c r="B142" s="750"/>
      <c r="C142" s="752"/>
      <c r="D142" s="184" t="s">
        <v>1620</v>
      </c>
      <c r="E142" s="189">
        <v>0.047</v>
      </c>
      <c r="F142" s="89">
        <v>440</v>
      </c>
      <c r="G142" s="90" t="s">
        <v>36</v>
      </c>
      <c r="H142" s="91">
        <v>1</v>
      </c>
      <c r="I142" s="91">
        <v>1</v>
      </c>
      <c r="J142" s="232">
        <v>10</v>
      </c>
      <c r="K142" s="119" t="str">
        <f>VLOOKUP(J142,'PF Uscite Sp. Corr.'!$C$1:$E$100,2,FALSE)</f>
        <v>Buoni Pasto Operai</v>
      </c>
      <c r="L142" s="131">
        <v>1551</v>
      </c>
      <c r="M142" s="167" t="s">
        <v>1197</v>
      </c>
      <c r="N142" s="123" t="s">
        <v>2023</v>
      </c>
    </row>
    <row r="143" spans="1:14" ht="13.5" customHeight="1" outlineLevel="2">
      <c r="A143" s="742"/>
      <c r="B143" s="751"/>
      <c r="C143" s="753"/>
      <c r="D143" s="64"/>
      <c r="E143" s="189">
        <v>0.053</v>
      </c>
      <c r="F143" s="104">
        <v>570</v>
      </c>
      <c r="G143" s="98" t="s">
        <v>36</v>
      </c>
      <c r="H143" s="99">
        <v>1</v>
      </c>
      <c r="I143" s="216">
        <v>2</v>
      </c>
      <c r="J143" s="233">
        <v>11</v>
      </c>
      <c r="K143" s="119" t="str">
        <f>VLOOKUP(J143,'PF Uscite Sp. Corr.'!$C$1:$E$100,2,FALSE)</f>
        <v>Imposta regionale sulle attività produttive (IRAP)</v>
      </c>
      <c r="L143" s="132">
        <v>1551</v>
      </c>
      <c r="M143" s="169" t="s">
        <v>1197</v>
      </c>
      <c r="N143" s="567" t="s">
        <v>2024</v>
      </c>
    </row>
    <row r="144" spans="1:14" s="215" customFormat="1" ht="13.5" customHeight="1" outlineLevel="1">
      <c r="A144" s="160"/>
      <c r="B144" s="161"/>
      <c r="C144" s="210"/>
      <c r="D144" s="191">
        <v>10600</v>
      </c>
      <c r="E144" s="234">
        <f>SUM(E139:E143)</f>
        <v>1</v>
      </c>
      <c r="F144" s="211">
        <f>SUBTOTAL(9,F139:F143)</f>
        <v>10600</v>
      </c>
      <c r="G144" s="212"/>
      <c r="H144" s="179"/>
      <c r="I144" s="179"/>
      <c r="J144" s="213"/>
      <c r="K144" s="162"/>
      <c r="L144" s="439" t="s">
        <v>1602</v>
      </c>
      <c r="M144" s="435"/>
      <c r="N144" s="214"/>
    </row>
    <row r="145" spans="1:14" ht="13.5" customHeight="1" outlineLevel="2">
      <c r="A145" s="740" t="s">
        <v>308</v>
      </c>
      <c r="B145" s="749" t="s">
        <v>384</v>
      </c>
      <c r="C145" s="754">
        <v>2018</v>
      </c>
      <c r="D145" s="760" t="s">
        <v>524</v>
      </c>
      <c r="E145" s="187">
        <f>81.4%+0.5%</f>
        <v>0.8190000000000001</v>
      </c>
      <c r="F145" s="230">
        <v>31040</v>
      </c>
      <c r="G145" s="90" t="s">
        <v>36</v>
      </c>
      <c r="H145" s="91">
        <v>1</v>
      </c>
      <c r="I145" s="91">
        <v>1</v>
      </c>
      <c r="J145" s="231" t="s">
        <v>886</v>
      </c>
      <c r="K145" s="119" t="str">
        <f>VLOOKUP(J145,'PF Uscite Sp. Corr.'!$C$1:$E$100,2,FALSE)</f>
        <v>Retribuzioni in denaro OTD</v>
      </c>
      <c r="L145" s="131">
        <v>2521</v>
      </c>
      <c r="M145" s="167" t="s">
        <v>1255</v>
      </c>
      <c r="N145" s="567" t="s">
        <v>2024</v>
      </c>
    </row>
    <row r="146" spans="1:14" ht="13.5" customHeight="1" outlineLevel="2">
      <c r="A146" s="741"/>
      <c r="B146" s="750"/>
      <c r="C146" s="752"/>
      <c r="D146" s="758"/>
      <c r="E146" s="187">
        <v>0.086</v>
      </c>
      <c r="F146" s="230">
        <v>3260</v>
      </c>
      <c r="G146" s="90" t="s">
        <v>36</v>
      </c>
      <c r="H146" s="91">
        <v>1</v>
      </c>
      <c r="I146" s="91">
        <v>1</v>
      </c>
      <c r="J146" s="231" t="s">
        <v>1378</v>
      </c>
      <c r="K146" s="119" t="str">
        <f>VLOOKUP(J146,'PF Uscite Sp. Corr.'!$C$1:$E$100,2,FALSE)</f>
        <v>Contributi sociali a carico dell'ente OTD</v>
      </c>
      <c r="L146" s="131">
        <v>2521</v>
      </c>
      <c r="M146" s="167" t="s">
        <v>1255</v>
      </c>
      <c r="N146" s="567" t="s">
        <v>2024</v>
      </c>
    </row>
    <row r="147" spans="1:14" ht="13.5" customHeight="1" outlineLevel="2">
      <c r="A147" s="741"/>
      <c r="B147" s="750"/>
      <c r="C147" s="752"/>
      <c r="D147" s="759"/>
      <c r="E147" s="187">
        <v>0.05</v>
      </c>
      <c r="F147" s="230">
        <v>1895</v>
      </c>
      <c r="G147" s="134" t="s">
        <v>36</v>
      </c>
      <c r="H147" s="216">
        <v>1</v>
      </c>
      <c r="I147" s="91">
        <v>1</v>
      </c>
      <c r="J147" s="231" t="s">
        <v>1320</v>
      </c>
      <c r="K147" s="119" t="str">
        <f>VLOOKUP(J147,'PF Uscite Sp. Corr.'!$C$1:$E$100,2,FALSE)</f>
        <v>Contributi indennità fine rapporto OTD</v>
      </c>
      <c r="L147" s="419">
        <v>2521</v>
      </c>
      <c r="M147" s="168" t="s">
        <v>1255</v>
      </c>
      <c r="N147" s="567" t="s">
        <v>2024</v>
      </c>
    </row>
    <row r="148" spans="1:14" ht="13.5" customHeight="1" outlineLevel="2">
      <c r="A148" s="741"/>
      <c r="B148" s="750"/>
      <c r="C148" s="752"/>
      <c r="D148" s="184" t="s">
        <v>1620</v>
      </c>
      <c r="E148" s="188">
        <v>0.045</v>
      </c>
      <c r="F148" s="230">
        <v>1705</v>
      </c>
      <c r="G148" s="90" t="s">
        <v>36</v>
      </c>
      <c r="H148" s="91">
        <v>1</v>
      </c>
      <c r="I148" s="91">
        <v>1</v>
      </c>
      <c r="J148" s="232">
        <v>10</v>
      </c>
      <c r="K148" s="119" t="str">
        <f>VLOOKUP(J148,'PF Uscite Sp. Corr.'!$C$1:$E$100,2,FALSE)</f>
        <v>Buoni Pasto Operai</v>
      </c>
      <c r="L148" s="132">
        <v>2521</v>
      </c>
      <c r="M148" s="169" t="s">
        <v>1255</v>
      </c>
      <c r="N148" s="123" t="s">
        <v>2023</v>
      </c>
    </row>
    <row r="149" spans="1:14" ht="14.25" customHeight="1">
      <c r="A149" s="742"/>
      <c r="B149" s="751"/>
      <c r="C149" s="753"/>
      <c r="E149" s="189"/>
      <c r="F149" s="230">
        <f aca="true" t="shared" si="7" ref="F149">D$150*E149</f>
        <v>0</v>
      </c>
      <c r="G149" s="98" t="s">
        <v>36</v>
      </c>
      <c r="H149" s="99">
        <v>1</v>
      </c>
      <c r="I149" s="216">
        <v>2</v>
      </c>
      <c r="J149" s="233">
        <v>11</v>
      </c>
      <c r="K149" s="119" t="str">
        <f>VLOOKUP(J149,'PF Uscite Sp. Corr.'!$C$1:$E$100,2,FALSE)</f>
        <v>Imposta regionale sulle attività produttive (IRAP)</v>
      </c>
      <c r="L149" s="132">
        <v>2521</v>
      </c>
      <c r="M149" s="169" t="s">
        <v>1255</v>
      </c>
      <c r="N149" s="567" t="s">
        <v>2024</v>
      </c>
    </row>
    <row r="150" spans="1:14" s="215" customFormat="1" ht="13.5" customHeight="1" outlineLevel="1">
      <c r="A150" s="160"/>
      <c r="B150" s="161"/>
      <c r="C150" s="210"/>
      <c r="D150" s="191">
        <v>37900</v>
      </c>
      <c r="E150" s="234">
        <f>SUM(E145:E149)</f>
        <v>1</v>
      </c>
      <c r="F150" s="211">
        <f>SUBTOTAL(9,F145:F149)</f>
        <v>37900</v>
      </c>
      <c r="G150" s="212"/>
      <c r="H150" s="179"/>
      <c r="I150" s="179"/>
      <c r="J150" s="213"/>
      <c r="K150" s="162"/>
      <c r="L150" s="439" t="s">
        <v>1603</v>
      </c>
      <c r="M150" s="435"/>
      <c r="N150" s="214"/>
    </row>
    <row r="151" spans="1:29" s="237" customFormat="1" ht="13.5" customHeight="1" outlineLevel="1">
      <c r="A151" s="740" t="s">
        <v>308</v>
      </c>
      <c r="B151" s="749" t="s">
        <v>384</v>
      </c>
      <c r="C151" s="754">
        <v>2018</v>
      </c>
      <c r="D151" s="1"/>
      <c r="E151" s="187">
        <f>76.6%+3%</f>
        <v>0.7959999999999999</v>
      </c>
      <c r="F151" s="230">
        <f>D$156*E151</f>
        <v>21889.999999999996</v>
      </c>
      <c r="G151" s="137" t="s">
        <v>35</v>
      </c>
      <c r="H151" s="91">
        <v>1</v>
      </c>
      <c r="I151" s="91">
        <v>1</v>
      </c>
      <c r="J151" s="231" t="s">
        <v>886</v>
      </c>
      <c r="K151" s="119" t="str">
        <f>VLOOKUP(J151,'PF Uscite Sp. Corr.'!$C$1:$E$100,2,FALSE)</f>
        <v>Retribuzioni in denaro OTD</v>
      </c>
      <c r="L151" s="424">
        <v>2731</v>
      </c>
      <c r="M151" s="416" t="s">
        <v>1276</v>
      </c>
      <c r="N151" s="567" t="s">
        <v>2024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s="237" customFormat="1" ht="13.5" customHeight="1" outlineLevel="1">
      <c r="A152" s="741"/>
      <c r="B152" s="750"/>
      <c r="C152" s="752"/>
      <c r="D152" s="774" t="s">
        <v>1619</v>
      </c>
      <c r="E152" s="187">
        <v>0.093</v>
      </c>
      <c r="F152" s="230">
        <v>2558</v>
      </c>
      <c r="G152" s="137" t="s">
        <v>35</v>
      </c>
      <c r="H152" s="91">
        <v>1</v>
      </c>
      <c r="I152" s="91">
        <v>1</v>
      </c>
      <c r="J152" s="231" t="s">
        <v>1378</v>
      </c>
      <c r="K152" s="119" t="str">
        <f>VLOOKUP(J152,'PF Uscite Sp. Corr.'!$C$1:$E$100,2,FALSE)</f>
        <v>Contributi sociali a carico dell'ente OTD</v>
      </c>
      <c r="L152" s="424">
        <v>2731</v>
      </c>
      <c r="M152" s="416" t="s">
        <v>1276</v>
      </c>
      <c r="N152" s="567" t="s">
        <v>2024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s="237" customFormat="1" ht="13.5" customHeight="1" outlineLevel="1">
      <c r="A153" s="741"/>
      <c r="B153" s="750"/>
      <c r="C153" s="752"/>
      <c r="D153" s="758"/>
      <c r="E153" s="187">
        <v>0.05</v>
      </c>
      <c r="F153" s="230">
        <f aca="true" t="shared" si="8" ref="F153:F155">D$156*E153</f>
        <v>1375</v>
      </c>
      <c r="G153" s="137" t="s">
        <v>35</v>
      </c>
      <c r="H153" s="216">
        <v>1</v>
      </c>
      <c r="I153" s="91">
        <v>1</v>
      </c>
      <c r="J153" s="231" t="s">
        <v>1320</v>
      </c>
      <c r="K153" s="119" t="str">
        <f>VLOOKUP(J153,'PF Uscite Sp. Corr.'!$C$1:$E$100,2,FALSE)</f>
        <v>Contributi indennità fine rapporto OTD</v>
      </c>
      <c r="L153" s="424">
        <v>2731</v>
      </c>
      <c r="M153" s="416" t="s">
        <v>1276</v>
      </c>
      <c r="N153" s="567" t="s">
        <v>2024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s="237" customFormat="1" ht="13.5" customHeight="1" outlineLevel="1">
      <c r="A154" s="741"/>
      <c r="B154" s="750"/>
      <c r="C154" s="752"/>
      <c r="D154" s="184" t="s">
        <v>1620</v>
      </c>
      <c r="E154" s="188">
        <v>0.061</v>
      </c>
      <c r="F154" s="230">
        <v>1677</v>
      </c>
      <c r="G154" s="137" t="s">
        <v>35</v>
      </c>
      <c r="H154" s="91">
        <v>1</v>
      </c>
      <c r="I154" s="91">
        <v>1</v>
      </c>
      <c r="J154" s="232">
        <v>10</v>
      </c>
      <c r="K154" s="119" t="str">
        <f>VLOOKUP(J154,'PF Uscite Sp. Corr.'!$C$1:$E$100,2,FALSE)</f>
        <v>Buoni Pasto Operai</v>
      </c>
      <c r="L154" s="424">
        <v>2731</v>
      </c>
      <c r="M154" s="416" t="s">
        <v>1276</v>
      </c>
      <c r="N154" s="123" t="s">
        <v>2023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s="237" customFormat="1" ht="13.5" customHeight="1" outlineLevel="1">
      <c r="A155" s="742"/>
      <c r="B155" s="751"/>
      <c r="C155" s="753"/>
      <c r="D155" s="185"/>
      <c r="E155" s="189">
        <v>0</v>
      </c>
      <c r="F155" s="230">
        <f t="shared" si="8"/>
        <v>0</v>
      </c>
      <c r="G155" s="137" t="s">
        <v>35</v>
      </c>
      <c r="H155" s="99">
        <v>1</v>
      </c>
      <c r="I155" s="216">
        <v>2</v>
      </c>
      <c r="J155" s="233">
        <v>11</v>
      </c>
      <c r="K155" s="119" t="str">
        <f>VLOOKUP(J155,'PF Uscite Sp. Corr.'!$C$1:$E$100,2,FALSE)</f>
        <v>Imposta regionale sulle attività produttive (IRAP)</v>
      </c>
      <c r="L155" s="424">
        <v>2731</v>
      </c>
      <c r="M155" s="416" t="s">
        <v>1276</v>
      </c>
      <c r="N155" s="567" t="s">
        <v>2024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14" s="215" customFormat="1" ht="13.5" customHeight="1" outlineLevel="1">
      <c r="A156" s="160"/>
      <c r="B156" s="161"/>
      <c r="C156" s="238"/>
      <c r="D156" s="191">
        <v>27500</v>
      </c>
      <c r="E156" s="234">
        <f>SUM(E151:E155)</f>
        <v>1</v>
      </c>
      <c r="F156" s="211">
        <f>SUBTOTAL(9,F151:F155)</f>
        <v>27499.999999999996</v>
      </c>
      <c r="G156" s="212"/>
      <c r="H156" s="179"/>
      <c r="I156" s="179"/>
      <c r="J156" s="213"/>
      <c r="K156" s="162"/>
      <c r="L156" s="439" t="s">
        <v>1604</v>
      </c>
      <c r="M156" s="435"/>
      <c r="N156" s="214"/>
    </row>
    <row r="157" spans="1:14" s="245" customFormat="1" ht="18.75" customHeight="1" outlineLevel="1">
      <c r="A157" s="157"/>
      <c r="B157" s="158"/>
      <c r="C157" s="239"/>
      <c r="D157" s="152" t="s">
        <v>1632</v>
      </c>
      <c r="E157" s="181"/>
      <c r="F157" s="240">
        <f>SUBTOTAL(9,F73:F155)</f>
        <v>1267497</v>
      </c>
      <c r="G157" s="241"/>
      <c r="H157" s="242"/>
      <c r="I157" s="242"/>
      <c r="J157" s="243"/>
      <c r="K157" s="159"/>
      <c r="L157" s="544"/>
      <c r="M157" s="572"/>
      <c r="N157" s="244"/>
    </row>
    <row r="158" spans="1:14" s="176" customFormat="1" ht="27" customHeight="1" outlineLevel="1">
      <c r="A158" s="171"/>
      <c r="B158" s="172"/>
      <c r="C158" s="246"/>
      <c r="D158" s="173"/>
      <c r="E158" s="182"/>
      <c r="F158" s="247"/>
      <c r="G158" s="137"/>
      <c r="H158" s="248"/>
      <c r="I158" s="248"/>
      <c r="J158" s="249"/>
      <c r="K158" s="174"/>
      <c r="L158" s="545"/>
      <c r="M158" s="573"/>
      <c r="N158" s="204"/>
    </row>
    <row r="159" spans="1:14" s="255" customFormat="1" ht="27.75" customHeight="1" outlineLevel="1">
      <c r="A159" s="777" t="s">
        <v>1634</v>
      </c>
      <c r="B159" s="778"/>
      <c r="C159" s="778"/>
      <c r="D159" s="779"/>
      <c r="E159" s="256" t="s">
        <v>2025</v>
      </c>
      <c r="F159" s="250">
        <f>F157+F69</f>
        <v>2442997</v>
      </c>
      <c r="G159" s="251"/>
      <c r="H159" s="252"/>
      <c r="I159" s="252"/>
      <c r="J159" s="253"/>
      <c r="K159" s="198"/>
      <c r="L159" s="546"/>
      <c r="M159" s="574"/>
      <c r="N159" s="254"/>
    </row>
    <row r="160" ht="12.75">
      <c r="D160" s="183"/>
    </row>
  </sheetData>
  <autoFilter ref="A2:N68"/>
  <mergeCells count="98">
    <mergeCell ref="A159:D159"/>
    <mergeCell ref="E39:E43"/>
    <mergeCell ref="E45:E49"/>
    <mergeCell ref="E51:E55"/>
    <mergeCell ref="E57:E61"/>
    <mergeCell ref="E63:E67"/>
    <mergeCell ref="D140:D141"/>
    <mergeCell ref="D145:D147"/>
    <mergeCell ref="D152:D153"/>
    <mergeCell ref="C145:C149"/>
    <mergeCell ref="C151:C155"/>
    <mergeCell ref="C139:C143"/>
    <mergeCell ref="B63:B67"/>
    <mergeCell ref="B151:B155"/>
    <mergeCell ref="B115:B119"/>
    <mergeCell ref="B121:B125"/>
    <mergeCell ref="D28:D29"/>
    <mergeCell ref="D45:D47"/>
    <mergeCell ref="D52:D53"/>
    <mergeCell ref="D58:D59"/>
    <mergeCell ref="D64:D65"/>
    <mergeCell ref="E3:E7"/>
    <mergeCell ref="E9:E13"/>
    <mergeCell ref="E15:E19"/>
    <mergeCell ref="E21:E25"/>
    <mergeCell ref="E27:E31"/>
    <mergeCell ref="E33:E37"/>
    <mergeCell ref="C63:C67"/>
    <mergeCell ref="D98:D99"/>
    <mergeCell ref="D127:D129"/>
    <mergeCell ref="D133:D135"/>
    <mergeCell ref="C57:C61"/>
    <mergeCell ref="C115:C119"/>
    <mergeCell ref="C121:C125"/>
    <mergeCell ref="C127:C131"/>
    <mergeCell ref="C133:C137"/>
    <mergeCell ref="C3:C7"/>
    <mergeCell ref="C9:C13"/>
    <mergeCell ref="C15:C19"/>
    <mergeCell ref="C21:C25"/>
    <mergeCell ref="C109:C113"/>
    <mergeCell ref="C73:C77"/>
    <mergeCell ref="C79:C83"/>
    <mergeCell ref="C85:C89"/>
    <mergeCell ref="C91:C95"/>
    <mergeCell ref="C97:C101"/>
    <mergeCell ref="C103:C107"/>
    <mergeCell ref="C27:C31"/>
    <mergeCell ref="C33:C37"/>
    <mergeCell ref="C39:C43"/>
    <mergeCell ref="C45:C49"/>
    <mergeCell ref="C51:C55"/>
    <mergeCell ref="B127:B131"/>
    <mergeCell ref="B133:B137"/>
    <mergeCell ref="B139:B143"/>
    <mergeCell ref="B145:B149"/>
    <mergeCell ref="A15:A19"/>
    <mergeCell ref="B91:B95"/>
    <mergeCell ref="B97:B101"/>
    <mergeCell ref="B103:B107"/>
    <mergeCell ref="B109:B113"/>
    <mergeCell ref="A145:A149"/>
    <mergeCell ref="A103:A107"/>
    <mergeCell ref="B15:B19"/>
    <mergeCell ref="B21:B25"/>
    <mergeCell ref="B27:B31"/>
    <mergeCell ref="B33:B37"/>
    <mergeCell ref="B39:B43"/>
    <mergeCell ref="A9:A13"/>
    <mergeCell ref="A3:A7"/>
    <mergeCell ref="B73:B77"/>
    <mergeCell ref="B79:B83"/>
    <mergeCell ref="B85:B89"/>
    <mergeCell ref="A39:A43"/>
    <mergeCell ref="A33:A37"/>
    <mergeCell ref="A27:A31"/>
    <mergeCell ref="A21:A25"/>
    <mergeCell ref="B3:B7"/>
    <mergeCell ref="B9:B13"/>
    <mergeCell ref="B45:B49"/>
    <mergeCell ref="B51:B55"/>
    <mergeCell ref="B57:B61"/>
    <mergeCell ref="A151:A155"/>
    <mergeCell ref="A63:A67"/>
    <mergeCell ref="A57:A61"/>
    <mergeCell ref="A51:A55"/>
    <mergeCell ref="A45:A49"/>
    <mergeCell ref="A109:A113"/>
    <mergeCell ref="A115:A119"/>
    <mergeCell ref="A121:A125"/>
    <mergeCell ref="A127:A131"/>
    <mergeCell ref="A133:A137"/>
    <mergeCell ref="A139:A143"/>
    <mergeCell ref="A73:A77"/>
    <mergeCell ref="A79:A83"/>
    <mergeCell ref="A85:A89"/>
    <mergeCell ref="A91:A95"/>
    <mergeCell ref="A97:A101"/>
  </mergeCells>
  <printOptions/>
  <pageMargins left="0.41" right="0.31496062992125984" top="0.7086614173228347" bottom="0.4330708661417323" header="0.2755905511811024" footer="0.1968503937007874"/>
  <pageSetup horizontalDpi="600" verticalDpi="600" orientation="landscape" paperSize="8" r:id="rId1"/>
  <headerFooter alignWithMargins="0">
    <oddHeader>&amp;CPEG 2018 - Attività Ordinaria
&amp;A</oddHeader>
    <oddFooter>&amp;C&amp;P/&amp;N</oddFooter>
  </headerFooter>
  <rowBreaks count="2" manualBreakCount="2">
    <brk id="56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R53"/>
  <sheetViews>
    <sheetView workbookViewId="0" topLeftCell="A1">
      <selection activeCell="H12" sqref="H12"/>
    </sheetView>
  </sheetViews>
  <sheetFormatPr defaultColWidth="9.140625" defaultRowHeight="12.75" outlineLevelRow="2"/>
  <cols>
    <col min="1" max="1" width="5.140625" style="77" customWidth="1"/>
    <col min="2" max="2" width="9.57421875" style="410" customWidth="1"/>
    <col min="3" max="3" width="23.8515625" style="77" customWidth="1"/>
    <col min="4" max="4" width="6.421875" style="78" customWidth="1"/>
    <col min="5" max="5" width="7.8515625" style="79" customWidth="1"/>
    <col min="6" max="6" width="6.421875" style="442" customWidth="1"/>
    <col min="7" max="7" width="48.00390625" style="125" customWidth="1"/>
    <col min="8" max="8" width="50.140625" style="465" customWidth="1"/>
    <col min="9" max="9" width="13.28125" style="466" customWidth="1"/>
    <col min="10" max="10" width="7.7109375" style="467" customWidth="1"/>
    <col min="11" max="11" width="5.421875" style="127" customWidth="1"/>
    <col min="12" max="12" width="5.00390625" style="127" customWidth="1"/>
    <col min="13" max="13" width="5.7109375" style="127" customWidth="1"/>
    <col min="14" max="14" width="28.00390625" style="447" customWidth="1"/>
    <col min="15" max="15" width="7.7109375" style="448" customWidth="1"/>
    <col min="16" max="16" width="29.7109375" style="448" customWidth="1"/>
    <col min="17" max="17" width="15.57421875" style="2" customWidth="1"/>
    <col min="18" max="18" width="18.7109375" style="5" customWidth="1"/>
    <col min="19" max="16384" width="9.140625" style="2" customWidth="1"/>
  </cols>
  <sheetData>
    <row r="1" spans="1:10" ht="20.25" customHeight="1">
      <c r="A1" s="76"/>
      <c r="B1" s="407"/>
      <c r="F1" s="554"/>
      <c r="G1" s="443"/>
      <c r="H1" s="444" t="e">
        <f>1436800-#REF!</f>
        <v>#REF!</v>
      </c>
      <c r="I1" s="445">
        <f>SUBTOTAL(9,I3:I1616)</f>
        <v>939300</v>
      </c>
      <c r="J1" s="446"/>
    </row>
    <row r="2" spans="1:18" s="97" customFormat="1" ht="13.5" customHeight="1" thickBot="1">
      <c r="A2" s="555" t="s">
        <v>0</v>
      </c>
      <c r="B2" s="556" t="s">
        <v>1983</v>
      </c>
      <c r="C2" s="555" t="s">
        <v>1</v>
      </c>
      <c r="D2" s="557" t="s">
        <v>2</v>
      </c>
      <c r="E2" s="555" t="s">
        <v>1072</v>
      </c>
      <c r="F2" s="442" t="s">
        <v>1071</v>
      </c>
      <c r="G2" s="558" t="s">
        <v>1070</v>
      </c>
      <c r="H2" s="558" t="s">
        <v>1077</v>
      </c>
      <c r="I2" s="559" t="s">
        <v>1075</v>
      </c>
      <c r="J2" s="560" t="s">
        <v>1982</v>
      </c>
      <c r="K2" s="548" t="s">
        <v>3</v>
      </c>
      <c r="L2" s="548" t="s">
        <v>4</v>
      </c>
      <c r="M2" s="548" t="s">
        <v>1076</v>
      </c>
      <c r="N2" s="561" t="s">
        <v>1110</v>
      </c>
      <c r="O2" s="562" t="s">
        <v>1553</v>
      </c>
      <c r="P2" s="563" t="s">
        <v>2026</v>
      </c>
      <c r="Q2" s="555" t="s">
        <v>1556</v>
      </c>
      <c r="R2" s="553" t="s">
        <v>1078</v>
      </c>
    </row>
    <row r="3" spans="1:18" s="427" customFormat="1" ht="35.25" customHeight="1" outlineLevel="2" thickTop="1">
      <c r="A3" s="396" t="s">
        <v>588</v>
      </c>
      <c r="B3" s="468">
        <v>11</v>
      </c>
      <c r="C3" s="396" t="s">
        <v>894</v>
      </c>
      <c r="D3" s="426" t="s">
        <v>22</v>
      </c>
      <c r="E3" s="422">
        <v>2018</v>
      </c>
      <c r="F3" s="469">
        <v>293</v>
      </c>
      <c r="G3" s="208" t="s">
        <v>1050</v>
      </c>
      <c r="H3" s="208" t="s">
        <v>1847</v>
      </c>
      <c r="I3" s="470">
        <v>35000</v>
      </c>
      <c r="J3" s="471" t="s">
        <v>9</v>
      </c>
      <c r="K3" s="472">
        <v>2</v>
      </c>
      <c r="L3" s="472">
        <v>2</v>
      </c>
      <c r="M3" s="473" t="s">
        <v>1321</v>
      </c>
      <c r="N3" s="415" t="str">
        <f>VLOOKUP(M3,'PF Uscite Investim'!$C$2:$E$22,2,FALSE)</f>
        <v xml:space="preserve">Attrezzature </v>
      </c>
      <c r="O3" s="474">
        <v>1111</v>
      </c>
      <c r="P3" s="416" t="str">
        <f>VLOOKUP(O3,'Centri di Costo'!$A$2:$B$179,2,FALSE)</f>
        <v>Att. Ord. Az. Diana - Seminativi</v>
      </c>
      <c r="Q3" s="121" t="s">
        <v>1996</v>
      </c>
      <c r="R3" s="432" t="s">
        <v>377</v>
      </c>
    </row>
    <row r="4" spans="1:18" s="491" customFormat="1" ht="16.5" customHeight="1" outlineLevel="1">
      <c r="A4" s="492"/>
      <c r="B4" s="500" t="s">
        <v>1984</v>
      </c>
      <c r="C4" s="493"/>
      <c r="D4" s="486"/>
      <c r="E4" s="487"/>
      <c r="F4" s="501" t="s">
        <v>1938</v>
      </c>
      <c r="G4" s="494" t="str">
        <f>C3</f>
        <v>SETTORE RICERCA AGRARIA</v>
      </c>
      <c r="H4" s="494"/>
      <c r="I4" s="495">
        <f>SUBTOTAL(9,I3:I3)</f>
        <v>35000</v>
      </c>
      <c r="J4" s="488"/>
      <c r="K4" s="489"/>
      <c r="L4" s="489"/>
      <c r="M4" s="490"/>
      <c r="N4" s="496"/>
      <c r="O4" s="497"/>
      <c r="P4" s="498"/>
      <c r="R4" s="499"/>
    </row>
    <row r="5" spans="1:18" s="139" customFormat="1" ht="35.25" customHeight="1" outlineLevel="2">
      <c r="A5" s="362" t="s">
        <v>588</v>
      </c>
      <c r="B5" s="468">
        <v>13</v>
      </c>
      <c r="C5" s="362" t="s">
        <v>752</v>
      </c>
      <c r="D5" s="426" t="s">
        <v>22</v>
      </c>
      <c r="E5" s="422">
        <v>2018</v>
      </c>
      <c r="F5" s="469">
        <v>292</v>
      </c>
      <c r="G5" s="208" t="s">
        <v>757</v>
      </c>
      <c r="H5" s="208" t="s">
        <v>758</v>
      </c>
      <c r="I5" s="470">
        <v>4000</v>
      </c>
      <c r="J5" s="471" t="s">
        <v>9</v>
      </c>
      <c r="K5" s="472">
        <v>2</v>
      </c>
      <c r="L5" s="472">
        <v>2</v>
      </c>
      <c r="M5" s="473" t="s">
        <v>1321</v>
      </c>
      <c r="N5" s="415" t="str">
        <f>VLOOKUP(M5,'PF Uscite Investim'!$C$2:$E$22,2,FALSE)</f>
        <v xml:space="preserve">Attrezzature </v>
      </c>
      <c r="O5" s="474">
        <v>1300</v>
      </c>
      <c r="P5" s="416" t="str">
        <f>VLOOKUP(O5,'Centri di Costo'!$A$2:$B$179,2,FALSE)</f>
        <v>Bioenergie e C.C. - Att. Ordinaria</v>
      </c>
      <c r="Q5" s="121" t="s">
        <v>2000</v>
      </c>
      <c r="R5" s="156" t="s">
        <v>380</v>
      </c>
    </row>
    <row r="6" spans="1:18" s="491" customFormat="1" ht="16.5" customHeight="1" outlineLevel="1">
      <c r="A6" s="492"/>
      <c r="B6" s="485" t="s">
        <v>1904</v>
      </c>
      <c r="C6" s="493"/>
      <c r="D6" s="486"/>
      <c r="E6" s="487"/>
      <c r="F6" s="501" t="s">
        <v>1938</v>
      </c>
      <c r="G6" s="494" t="str">
        <f>C5</f>
        <v>SETTORE BIOENERGIE E CAMBIAMENTO CLIMATICO</v>
      </c>
      <c r="H6" s="494"/>
      <c r="I6" s="495">
        <f>SUBTOTAL(9,I5:I5)</f>
        <v>4000</v>
      </c>
      <c r="J6" s="488"/>
      <c r="K6" s="489"/>
      <c r="L6" s="489"/>
      <c r="M6" s="490"/>
      <c r="N6" s="496"/>
      <c r="O6" s="497"/>
      <c r="P6" s="498"/>
      <c r="R6" s="499"/>
    </row>
    <row r="7" spans="1:18" ht="35.25" customHeight="1" outlineLevel="2">
      <c r="A7" s="94" t="s">
        <v>588</v>
      </c>
      <c r="B7" s="408">
        <v>14</v>
      </c>
      <c r="C7" s="94" t="s">
        <v>759</v>
      </c>
      <c r="D7" s="100" t="s">
        <v>22</v>
      </c>
      <c r="E7" s="101">
        <v>2018</v>
      </c>
      <c r="F7" s="449">
        <v>127</v>
      </c>
      <c r="G7" s="121" t="s">
        <v>887</v>
      </c>
      <c r="H7" s="121" t="s">
        <v>888</v>
      </c>
      <c r="I7" s="450">
        <v>800</v>
      </c>
      <c r="J7" s="451" t="s">
        <v>9</v>
      </c>
      <c r="K7" s="452">
        <v>2</v>
      </c>
      <c r="L7" s="452">
        <v>2</v>
      </c>
      <c r="M7" s="453" t="s">
        <v>1321</v>
      </c>
      <c r="N7" s="128" t="str">
        <f>VLOOKUP(M7,'PF Uscite Investim'!$C$2:$E$22,2,FALSE)</f>
        <v xml:space="preserve">Attrezzature </v>
      </c>
      <c r="O7" s="454">
        <v>1430</v>
      </c>
      <c r="P7" s="169" t="str">
        <f>VLOOKUP(O7,'Centri di Costo'!$A$2:$B$179,2,FALSE)</f>
        <v xml:space="preserve">Conegliano - Totale Attività Ordinaria </v>
      </c>
      <c r="Q7" s="120" t="s">
        <v>1997</v>
      </c>
      <c r="R7" s="114" t="s">
        <v>747</v>
      </c>
    </row>
    <row r="8" spans="1:18" ht="35.25" customHeight="1" outlineLevel="2">
      <c r="A8" s="85" t="s">
        <v>588</v>
      </c>
      <c r="B8" s="408">
        <v>14</v>
      </c>
      <c r="C8" s="85" t="s">
        <v>759</v>
      </c>
      <c r="D8" s="86" t="s">
        <v>22</v>
      </c>
      <c r="E8" s="87">
        <v>2018</v>
      </c>
      <c r="F8" s="455">
        <v>127</v>
      </c>
      <c r="G8" s="120" t="s">
        <v>887</v>
      </c>
      <c r="H8" s="120" t="s">
        <v>889</v>
      </c>
      <c r="I8" s="456">
        <v>2000</v>
      </c>
      <c r="J8" s="457" t="s">
        <v>9</v>
      </c>
      <c r="K8" s="458">
        <v>2</v>
      </c>
      <c r="L8" s="458">
        <v>2</v>
      </c>
      <c r="M8" s="459" t="s">
        <v>1321</v>
      </c>
      <c r="N8" s="119" t="str">
        <f>VLOOKUP(M8,'PF Uscite Investim'!$C$2:$E$22,2,FALSE)</f>
        <v xml:space="preserve">Attrezzature </v>
      </c>
      <c r="O8" s="460">
        <v>1430</v>
      </c>
      <c r="P8" s="167" t="str">
        <f>VLOOKUP(O8,'Centri di Costo'!$A$2:$B$179,2,FALSE)</f>
        <v xml:space="preserve">Conegliano - Totale Attività Ordinaria </v>
      </c>
      <c r="Q8" s="120" t="s">
        <v>1997</v>
      </c>
      <c r="R8" s="4" t="s">
        <v>747</v>
      </c>
    </row>
    <row r="9" spans="1:18" ht="35.25" customHeight="1" outlineLevel="2">
      <c r="A9" s="85" t="s">
        <v>588</v>
      </c>
      <c r="B9" s="408">
        <v>14</v>
      </c>
      <c r="C9" s="85" t="s">
        <v>759</v>
      </c>
      <c r="D9" s="86" t="s">
        <v>22</v>
      </c>
      <c r="E9" s="87">
        <v>2018</v>
      </c>
      <c r="F9" s="455">
        <v>127</v>
      </c>
      <c r="G9" s="120" t="s">
        <v>887</v>
      </c>
      <c r="H9" s="120" t="s">
        <v>890</v>
      </c>
      <c r="I9" s="456">
        <v>2500</v>
      </c>
      <c r="J9" s="457" t="s">
        <v>9</v>
      </c>
      <c r="K9" s="458">
        <v>2</v>
      </c>
      <c r="L9" s="458">
        <v>2</v>
      </c>
      <c r="M9" s="459" t="s">
        <v>1321</v>
      </c>
      <c r="N9" s="119" t="str">
        <f>VLOOKUP(M9,'PF Uscite Investim'!$C$2:$E$22,2,FALSE)</f>
        <v xml:space="preserve">Attrezzature </v>
      </c>
      <c r="O9" s="460">
        <v>1430</v>
      </c>
      <c r="P9" s="167" t="str">
        <f>VLOOKUP(O9,'Centri di Costo'!$A$2:$B$179,2,FALSE)</f>
        <v xml:space="preserve">Conegliano - Totale Attività Ordinaria </v>
      </c>
      <c r="Q9" s="120" t="s">
        <v>1997</v>
      </c>
      <c r="R9" s="4" t="s">
        <v>747</v>
      </c>
    </row>
    <row r="10" spans="1:18" ht="35.25" customHeight="1" outlineLevel="2">
      <c r="A10" s="85" t="s">
        <v>588</v>
      </c>
      <c r="B10" s="408">
        <v>14</v>
      </c>
      <c r="C10" s="85" t="s">
        <v>759</v>
      </c>
      <c r="D10" s="86" t="s">
        <v>22</v>
      </c>
      <c r="E10" s="87">
        <v>2018</v>
      </c>
      <c r="F10" s="455">
        <v>127</v>
      </c>
      <c r="G10" s="120" t="s">
        <v>887</v>
      </c>
      <c r="H10" s="120" t="s">
        <v>891</v>
      </c>
      <c r="I10" s="456">
        <v>15000</v>
      </c>
      <c r="J10" s="457" t="s">
        <v>9</v>
      </c>
      <c r="K10" s="458">
        <v>2</v>
      </c>
      <c r="L10" s="458">
        <v>2</v>
      </c>
      <c r="M10" s="459">
        <v>35</v>
      </c>
      <c r="N10" s="119" t="str">
        <f>VLOOKUP(M10,'PF Uscite Investim'!$C$2:$E$22,2,FALSE)</f>
        <v>Incarichi professionali per la realizzazione di investimenti</v>
      </c>
      <c r="O10" s="460">
        <v>1410</v>
      </c>
      <c r="P10" s="167" t="str">
        <f>VLOOKUP(O10,'Centri di Costo'!$A$2:$B$179,2,FALSE)</f>
        <v xml:space="preserve">Po di Tramontana - Totale Attività Ordinaria </v>
      </c>
      <c r="Q10" s="120" t="s">
        <v>1997</v>
      </c>
      <c r="R10" s="4" t="s">
        <v>598</v>
      </c>
    </row>
    <row r="11" spans="1:18" ht="35.25" customHeight="1" outlineLevel="2">
      <c r="A11" s="85" t="s">
        <v>588</v>
      </c>
      <c r="B11" s="408">
        <v>14</v>
      </c>
      <c r="C11" s="85" t="s">
        <v>759</v>
      </c>
      <c r="D11" s="86" t="s">
        <v>22</v>
      </c>
      <c r="E11" s="87">
        <v>2018</v>
      </c>
      <c r="F11" s="455">
        <v>127</v>
      </c>
      <c r="G11" s="120" t="s">
        <v>887</v>
      </c>
      <c r="H11" s="120" t="s">
        <v>892</v>
      </c>
      <c r="I11" s="456">
        <v>3500</v>
      </c>
      <c r="J11" s="457" t="s">
        <v>9</v>
      </c>
      <c r="K11" s="458">
        <v>2</v>
      </c>
      <c r="L11" s="458">
        <v>2</v>
      </c>
      <c r="M11" s="459" t="s">
        <v>1321</v>
      </c>
      <c r="N11" s="119" t="str">
        <f>VLOOKUP(M11,'PF Uscite Investim'!$C$2:$E$22,2,FALSE)</f>
        <v xml:space="preserve">Attrezzature </v>
      </c>
      <c r="O11" s="460">
        <v>1430</v>
      </c>
      <c r="P11" s="167" t="str">
        <f>VLOOKUP(O11,'Centri di Costo'!$A$2:$B$179,2,FALSE)</f>
        <v xml:space="preserve">Conegliano - Totale Attività Ordinaria </v>
      </c>
      <c r="Q11" s="120" t="s">
        <v>1997</v>
      </c>
      <c r="R11" s="4" t="s">
        <v>747</v>
      </c>
    </row>
    <row r="12" spans="1:18" s="139" customFormat="1" ht="35.25" customHeight="1" outlineLevel="2">
      <c r="A12" s="115" t="s">
        <v>588</v>
      </c>
      <c r="B12" s="468">
        <v>14</v>
      </c>
      <c r="C12" s="115" t="s">
        <v>759</v>
      </c>
      <c r="D12" s="411" t="s">
        <v>22</v>
      </c>
      <c r="E12" s="412">
        <v>2018</v>
      </c>
      <c r="F12" s="475">
        <v>267</v>
      </c>
      <c r="G12" s="123" t="s">
        <v>893</v>
      </c>
      <c r="H12" s="123" t="s">
        <v>1846</v>
      </c>
      <c r="I12" s="476">
        <v>12000</v>
      </c>
      <c r="J12" s="477" t="s">
        <v>9</v>
      </c>
      <c r="K12" s="478">
        <v>2</v>
      </c>
      <c r="L12" s="478">
        <v>2</v>
      </c>
      <c r="M12" s="481">
        <v>36</v>
      </c>
      <c r="N12" s="118" t="str">
        <f>VLOOKUP(M12,'PF Uscite Investim'!$C$2:$E$22,2,FALSE)</f>
        <v>Manutenzione straordinaria su beni di terzi</v>
      </c>
      <c r="O12" s="480">
        <v>1112</v>
      </c>
      <c r="P12" s="168" t="str">
        <f>VLOOKUP(O12,'Centri di Costo'!$A$2:$B$179,2,FALSE)</f>
        <v>Att. Ord. Az. Diana - Vigneto</v>
      </c>
      <c r="Q12" s="568" t="s">
        <v>1997</v>
      </c>
      <c r="R12" s="155" t="s">
        <v>587</v>
      </c>
    </row>
    <row r="13" spans="1:18" s="491" customFormat="1" ht="16.5" customHeight="1" outlineLevel="1">
      <c r="A13" s="492"/>
      <c r="B13" s="485" t="s">
        <v>1985</v>
      </c>
      <c r="C13" s="493"/>
      <c r="D13" s="486"/>
      <c r="E13" s="487"/>
      <c r="F13" s="501" t="s">
        <v>1938</v>
      </c>
      <c r="G13" s="494" t="str">
        <f>C12</f>
        <v>SETTORE CENTRI SPERIMENTALI</v>
      </c>
      <c r="H13" s="494"/>
      <c r="I13" s="495">
        <f>SUBTOTAL(9,I7:I12)</f>
        <v>35800</v>
      </c>
      <c r="J13" s="488"/>
      <c r="K13" s="489"/>
      <c r="L13" s="489"/>
      <c r="M13" s="490"/>
      <c r="N13" s="496"/>
      <c r="O13" s="497"/>
      <c r="P13" s="498"/>
      <c r="R13" s="499"/>
    </row>
    <row r="14" spans="1:18" ht="35.25" customHeight="1" outlineLevel="2">
      <c r="A14" s="94" t="s">
        <v>588</v>
      </c>
      <c r="B14" s="408">
        <v>15</v>
      </c>
      <c r="C14" s="94" t="s">
        <v>599</v>
      </c>
      <c r="D14" s="100" t="s">
        <v>22</v>
      </c>
      <c r="E14" s="101">
        <v>2018</v>
      </c>
      <c r="F14" s="449">
        <v>301</v>
      </c>
      <c r="G14" s="121" t="s">
        <v>600</v>
      </c>
      <c r="H14" s="121" t="s">
        <v>601</v>
      </c>
      <c r="I14" s="450">
        <v>25000</v>
      </c>
      <c r="J14" s="451" t="s">
        <v>36</v>
      </c>
      <c r="K14" s="452">
        <v>2</v>
      </c>
      <c r="L14" s="452">
        <v>2</v>
      </c>
      <c r="M14" s="453">
        <v>35</v>
      </c>
      <c r="N14" s="128" t="str">
        <f>VLOOKUP(M14,'PF Uscite Investim'!$C$2:$E$22,2,FALSE)</f>
        <v>Incarichi professionali per la realizzazione di investimenti</v>
      </c>
      <c r="O14" s="454">
        <v>1590</v>
      </c>
      <c r="P14" s="169" t="str">
        <f>VLOOKUP(O14,'Centri di Costo'!$A$2:$B$179,2,FALSE)</f>
        <v>Settore Att. Forestali - Att. Ord. in carico al Settore</v>
      </c>
      <c r="Q14" s="120" t="s">
        <v>1999</v>
      </c>
      <c r="R14" s="114" t="s">
        <v>598</v>
      </c>
    </row>
    <row r="15" spans="1:18" ht="35.25" customHeight="1" outlineLevel="2">
      <c r="A15" s="85" t="s">
        <v>588</v>
      </c>
      <c r="B15" s="408">
        <v>15</v>
      </c>
      <c r="C15" s="85" t="s">
        <v>599</v>
      </c>
      <c r="D15" s="86" t="s">
        <v>22</v>
      </c>
      <c r="E15" s="87">
        <v>2018</v>
      </c>
      <c r="F15" s="455">
        <v>301</v>
      </c>
      <c r="G15" s="120" t="s">
        <v>600</v>
      </c>
      <c r="H15" s="120" t="s">
        <v>1639</v>
      </c>
      <c r="I15" s="456">
        <v>60000</v>
      </c>
      <c r="J15" s="457" t="s">
        <v>36</v>
      </c>
      <c r="K15" s="458">
        <v>2</v>
      </c>
      <c r="L15" s="458">
        <v>2</v>
      </c>
      <c r="M15" s="459" t="s">
        <v>1321</v>
      </c>
      <c r="N15" s="119" t="str">
        <f>VLOOKUP(M15,'PF Uscite Investim'!$C$2:$E$22,2,FALSE)</f>
        <v xml:space="preserve">Attrezzature </v>
      </c>
      <c r="O15" s="460">
        <v>1590</v>
      </c>
      <c r="P15" s="167" t="str">
        <f>VLOOKUP(O15,'Centri di Costo'!$A$2:$B$179,2,FALSE)</f>
        <v>Settore Att. Forestali - Att. Ord. in carico al Settore</v>
      </c>
      <c r="Q15" s="120" t="s">
        <v>1999</v>
      </c>
      <c r="R15" s="4" t="s">
        <v>377</v>
      </c>
    </row>
    <row r="16" spans="1:18" ht="35.25" customHeight="1" outlineLevel="2">
      <c r="A16" s="85" t="s">
        <v>588</v>
      </c>
      <c r="B16" s="408">
        <v>15</v>
      </c>
      <c r="C16" s="85" t="s">
        <v>599</v>
      </c>
      <c r="D16" s="86" t="s">
        <v>22</v>
      </c>
      <c r="E16" s="87">
        <v>2018</v>
      </c>
      <c r="F16" s="455">
        <v>301</v>
      </c>
      <c r="G16" s="120" t="s">
        <v>600</v>
      </c>
      <c r="H16" s="120" t="s">
        <v>1640</v>
      </c>
      <c r="I16" s="456">
        <v>265000</v>
      </c>
      <c r="J16" s="457" t="s">
        <v>36</v>
      </c>
      <c r="K16" s="458">
        <v>2</v>
      </c>
      <c r="L16" s="458">
        <v>2</v>
      </c>
      <c r="M16" s="459">
        <v>36</v>
      </c>
      <c r="N16" s="119" t="str">
        <f>VLOOKUP(M16,'PF Uscite Investim'!$C$2:$E$22,2,FALSE)</f>
        <v>Manutenzione straordinaria su beni di terzi</v>
      </c>
      <c r="O16" s="460">
        <v>1590</v>
      </c>
      <c r="P16" s="167" t="str">
        <f>VLOOKUP(O16,'Centri di Costo'!$A$2:$B$179,2,FALSE)</f>
        <v>Settore Att. Forestali - Att. Ord. in carico al Settore</v>
      </c>
      <c r="Q16" s="120" t="s">
        <v>1999</v>
      </c>
      <c r="R16" s="4" t="s">
        <v>584</v>
      </c>
    </row>
    <row r="17" spans="1:18" ht="30" customHeight="1" outlineLevel="2">
      <c r="A17" s="85" t="s">
        <v>588</v>
      </c>
      <c r="B17" s="408">
        <v>15</v>
      </c>
      <c r="C17" s="85" t="s">
        <v>599</v>
      </c>
      <c r="D17" s="86" t="s">
        <v>22</v>
      </c>
      <c r="E17" s="87">
        <v>2018</v>
      </c>
      <c r="F17" s="455">
        <v>207</v>
      </c>
      <c r="G17" s="120" t="s">
        <v>1994</v>
      </c>
      <c r="H17" s="120" t="s">
        <v>746</v>
      </c>
      <c r="I17" s="456">
        <v>70000</v>
      </c>
      <c r="J17" s="457" t="s">
        <v>36</v>
      </c>
      <c r="K17" s="458">
        <v>2</v>
      </c>
      <c r="L17" s="458">
        <v>2</v>
      </c>
      <c r="M17" s="459" t="s">
        <v>1026</v>
      </c>
      <c r="N17" s="119" t="str">
        <f>VLOOKUP(M17,'PF Uscite Investim'!$C$2:$E$22,2,FALSE)</f>
        <v>Impianti e macchinari</v>
      </c>
      <c r="O17" s="460">
        <v>1514</v>
      </c>
      <c r="P17" s="167" t="str">
        <f>VLOOKUP(O17,'Centri di Costo'!$A$2:$B$179,2,FALSE)</f>
        <v>Att. Ord. Cansiglio - Falegnameria</v>
      </c>
      <c r="Q17" s="120" t="s">
        <v>1999</v>
      </c>
      <c r="R17" s="4" t="s">
        <v>747</v>
      </c>
    </row>
    <row r="18" spans="1:18" ht="30" customHeight="1" outlineLevel="2">
      <c r="A18" s="85" t="s">
        <v>588</v>
      </c>
      <c r="B18" s="408">
        <v>15</v>
      </c>
      <c r="C18" s="85" t="s">
        <v>599</v>
      </c>
      <c r="D18" s="86" t="s">
        <v>22</v>
      </c>
      <c r="E18" s="87">
        <v>2018</v>
      </c>
      <c r="F18" s="455">
        <v>207</v>
      </c>
      <c r="G18" s="120" t="s">
        <v>745</v>
      </c>
      <c r="H18" s="120" t="s">
        <v>748</v>
      </c>
      <c r="I18" s="456">
        <v>1500</v>
      </c>
      <c r="J18" s="457" t="s">
        <v>36</v>
      </c>
      <c r="K18" s="458">
        <v>2</v>
      </c>
      <c r="L18" s="458">
        <v>2</v>
      </c>
      <c r="M18" s="459">
        <v>35</v>
      </c>
      <c r="N18" s="119" t="str">
        <f>VLOOKUP(M18,'PF Uscite Investim'!$C$2:$E$22,2,FALSE)</f>
        <v>Incarichi professionali per la realizzazione di investimenti</v>
      </c>
      <c r="O18" s="460">
        <v>1521</v>
      </c>
      <c r="P18" s="167" t="str">
        <f>VLOOKUP(O18,'Centri di Costo'!$A$2:$B$179,2,FALSE)</f>
        <v>Att. Ord. Verona - Att. Selvicolturali sul demanio</v>
      </c>
      <c r="Q18" s="120" t="s">
        <v>1999</v>
      </c>
      <c r="R18" s="4" t="s">
        <v>598</v>
      </c>
    </row>
    <row r="19" spans="1:18" ht="35.25" customHeight="1" outlineLevel="2">
      <c r="A19" s="85" t="s">
        <v>588</v>
      </c>
      <c r="B19" s="408">
        <v>15</v>
      </c>
      <c r="C19" s="85" t="s">
        <v>599</v>
      </c>
      <c r="D19" s="86" t="s">
        <v>22</v>
      </c>
      <c r="E19" s="87">
        <v>2018</v>
      </c>
      <c r="F19" s="455">
        <v>144</v>
      </c>
      <c r="G19" s="120" t="s">
        <v>749</v>
      </c>
      <c r="H19" s="120" t="s">
        <v>1845</v>
      </c>
      <c r="I19" s="456">
        <v>170000</v>
      </c>
      <c r="J19" s="457" t="s">
        <v>36</v>
      </c>
      <c r="K19" s="458">
        <v>2</v>
      </c>
      <c r="L19" s="458">
        <v>2</v>
      </c>
      <c r="M19" s="459" t="s">
        <v>1320</v>
      </c>
      <c r="N19" s="119" t="str">
        <f>VLOOKUP(M19,'PF Uscite Investim'!$C$2:$E$22,2,FALSE)</f>
        <v>Beni immobili</v>
      </c>
      <c r="O19" s="460">
        <v>1531</v>
      </c>
      <c r="P19" s="167" t="str">
        <f>VLOOKUP(O19,'Centri di Costo'!$A$2:$B$179,2,FALSE)</f>
        <v>Attività Ord. Vivaistica Montecchio</v>
      </c>
      <c r="Q19" s="120" t="s">
        <v>1999</v>
      </c>
      <c r="R19" s="4" t="s">
        <v>750</v>
      </c>
    </row>
    <row r="20" spans="1:18" ht="35.25" customHeight="1" outlineLevel="2">
      <c r="A20" s="85" t="s">
        <v>588</v>
      </c>
      <c r="B20" s="408">
        <v>15</v>
      </c>
      <c r="C20" s="85" t="s">
        <v>599</v>
      </c>
      <c r="D20" s="86" t="s">
        <v>22</v>
      </c>
      <c r="E20" s="87">
        <v>2018</v>
      </c>
      <c r="F20" s="455">
        <v>144</v>
      </c>
      <c r="G20" s="120" t="s">
        <v>749</v>
      </c>
      <c r="H20" s="120" t="s">
        <v>1641</v>
      </c>
      <c r="I20" s="456">
        <v>7000</v>
      </c>
      <c r="J20" s="457" t="s">
        <v>36</v>
      </c>
      <c r="K20" s="458">
        <v>2</v>
      </c>
      <c r="L20" s="458">
        <v>2</v>
      </c>
      <c r="M20" s="459">
        <v>35</v>
      </c>
      <c r="N20" s="119" t="str">
        <f>VLOOKUP(M20,'PF Uscite Investim'!$C$2:$E$22,2,FALSE)</f>
        <v>Incarichi professionali per la realizzazione di investimenti</v>
      </c>
      <c r="O20" s="460">
        <v>1531</v>
      </c>
      <c r="P20" s="167" t="str">
        <f>VLOOKUP(O20,'Centri di Costo'!$A$2:$B$179,2,FALSE)</f>
        <v>Attività Ord. Vivaistica Montecchio</v>
      </c>
      <c r="Q20" s="120" t="s">
        <v>1999</v>
      </c>
      <c r="R20" s="4" t="s">
        <v>598</v>
      </c>
    </row>
    <row r="21" spans="1:18" s="139" customFormat="1" ht="35.25" customHeight="1" outlineLevel="2">
      <c r="A21" s="115" t="s">
        <v>588</v>
      </c>
      <c r="B21" s="468">
        <v>15</v>
      </c>
      <c r="C21" s="115" t="s">
        <v>599</v>
      </c>
      <c r="D21" s="411" t="s">
        <v>22</v>
      </c>
      <c r="E21" s="412">
        <v>2018</v>
      </c>
      <c r="F21" s="475">
        <v>144</v>
      </c>
      <c r="G21" s="123" t="s">
        <v>749</v>
      </c>
      <c r="H21" s="123" t="s">
        <v>751</v>
      </c>
      <c r="I21" s="476">
        <v>25000</v>
      </c>
      <c r="J21" s="477" t="s">
        <v>36</v>
      </c>
      <c r="K21" s="478">
        <v>2</v>
      </c>
      <c r="L21" s="478">
        <v>2</v>
      </c>
      <c r="M21" s="481" t="s">
        <v>1321</v>
      </c>
      <c r="N21" s="118" t="str">
        <f>VLOOKUP(M21,'PF Uscite Investim'!$C$2:$E$22,2,FALSE)</f>
        <v xml:space="preserve">Attrezzature </v>
      </c>
      <c r="O21" s="480">
        <v>1531</v>
      </c>
      <c r="P21" s="168" t="str">
        <f>VLOOKUP(O21,'Centri di Costo'!$A$2:$B$179,2,FALSE)</f>
        <v>Attività Ord. Vivaistica Montecchio</v>
      </c>
      <c r="Q21" s="120" t="s">
        <v>1999</v>
      </c>
      <c r="R21" s="155" t="s">
        <v>377</v>
      </c>
    </row>
    <row r="22" spans="1:18" s="491" customFormat="1" ht="16.5" customHeight="1" outlineLevel="1">
      <c r="A22" s="492"/>
      <c r="B22" s="485" t="s">
        <v>1986</v>
      </c>
      <c r="C22" s="493"/>
      <c r="D22" s="486"/>
      <c r="E22" s="487"/>
      <c r="F22" s="501" t="s">
        <v>1938</v>
      </c>
      <c r="G22" s="494" t="str">
        <f>C21</f>
        <v>SETTORE ATTIVITA' FORESTALI</v>
      </c>
      <c r="H22" s="494"/>
      <c r="I22" s="495">
        <f>SUBTOTAL(9,I14:I21)</f>
        <v>623500</v>
      </c>
      <c r="J22" s="488"/>
      <c r="K22" s="489"/>
      <c r="L22" s="489"/>
      <c r="M22" s="490"/>
      <c r="N22" s="496"/>
      <c r="O22" s="497"/>
      <c r="P22" s="498"/>
      <c r="R22" s="499"/>
    </row>
    <row r="23" spans="1:18" ht="35.25" customHeight="1" outlineLevel="2">
      <c r="A23" s="94" t="s">
        <v>308</v>
      </c>
      <c r="B23" s="408">
        <v>22</v>
      </c>
      <c r="C23" s="94" t="s">
        <v>309</v>
      </c>
      <c r="D23" s="100" t="s">
        <v>22</v>
      </c>
      <c r="E23" s="101">
        <v>2018</v>
      </c>
      <c r="F23" s="449">
        <v>164</v>
      </c>
      <c r="G23" s="121" t="s">
        <v>375</v>
      </c>
      <c r="H23" s="121" t="s">
        <v>376</v>
      </c>
      <c r="I23" s="450">
        <v>800</v>
      </c>
      <c r="J23" s="451" t="s">
        <v>9</v>
      </c>
      <c r="K23" s="452">
        <v>2</v>
      </c>
      <c r="L23" s="452">
        <v>2</v>
      </c>
      <c r="M23" s="453" t="s">
        <v>1321</v>
      </c>
      <c r="N23" s="128" t="str">
        <f>VLOOKUP(M23,'PF Uscite Investim'!$C$2:$E$22,2,FALSE)</f>
        <v xml:space="preserve">Attrezzature </v>
      </c>
      <c r="O23" s="454">
        <v>2120</v>
      </c>
      <c r="P23" s="169" t="str">
        <f>VLOOKUP(O23,'Centri di Costo'!$A$2:$B$179,2,FALSE)</f>
        <v xml:space="preserve">Att. Ord. Thiene - Laboratori Lab. Biotecnologie e Microbiologia </v>
      </c>
      <c r="Q23" s="121" t="s">
        <v>2003</v>
      </c>
      <c r="R23" s="114" t="s">
        <v>377</v>
      </c>
    </row>
    <row r="24" spans="1:18" ht="35.25" customHeight="1" outlineLevel="2">
      <c r="A24" s="85" t="s">
        <v>308</v>
      </c>
      <c r="B24" s="408">
        <v>22</v>
      </c>
      <c r="C24" s="85" t="s">
        <v>309</v>
      </c>
      <c r="D24" s="86" t="s">
        <v>22</v>
      </c>
      <c r="E24" s="87">
        <v>2018</v>
      </c>
      <c r="F24" s="455">
        <v>164</v>
      </c>
      <c r="G24" s="120" t="s">
        <v>375</v>
      </c>
      <c r="H24" s="120" t="s">
        <v>378</v>
      </c>
      <c r="I24" s="456">
        <v>6000</v>
      </c>
      <c r="J24" s="457" t="s">
        <v>9</v>
      </c>
      <c r="K24" s="458">
        <v>2</v>
      </c>
      <c r="L24" s="458">
        <v>2</v>
      </c>
      <c r="M24" s="459" t="s">
        <v>1321</v>
      </c>
      <c r="N24" s="119" t="str">
        <f>VLOOKUP(M24,'PF Uscite Investim'!$C$2:$E$22,2,FALSE)</f>
        <v xml:space="preserve">Attrezzature </v>
      </c>
      <c r="O24" s="460">
        <v>2120</v>
      </c>
      <c r="P24" s="167" t="str">
        <f>VLOOKUP(O24,'Centri di Costo'!$A$2:$B$179,2,FALSE)</f>
        <v xml:space="preserve">Att. Ord. Thiene - Laboratori Lab. Biotecnologie e Microbiologia </v>
      </c>
      <c r="Q24" s="121" t="s">
        <v>2003</v>
      </c>
      <c r="R24" s="4" t="s">
        <v>377</v>
      </c>
    </row>
    <row r="25" spans="1:18" ht="30" customHeight="1" outlineLevel="2">
      <c r="A25" s="85" t="s">
        <v>308</v>
      </c>
      <c r="B25" s="408">
        <v>22</v>
      </c>
      <c r="C25" s="85" t="s">
        <v>309</v>
      </c>
      <c r="D25" s="86" t="s">
        <v>22</v>
      </c>
      <c r="E25" s="87">
        <v>2018</v>
      </c>
      <c r="F25" s="455">
        <v>164</v>
      </c>
      <c r="G25" s="120" t="s">
        <v>375</v>
      </c>
      <c r="H25" s="120" t="s">
        <v>379</v>
      </c>
      <c r="I25" s="456">
        <v>600</v>
      </c>
      <c r="J25" s="457" t="s">
        <v>9</v>
      </c>
      <c r="K25" s="458">
        <v>2</v>
      </c>
      <c r="L25" s="458">
        <v>2</v>
      </c>
      <c r="M25" s="459" t="s">
        <v>1321</v>
      </c>
      <c r="N25" s="119" t="str">
        <f>VLOOKUP(M25,'PF Uscite Investim'!$C$2:$E$22,2,FALSE)</f>
        <v xml:space="preserve">Attrezzature </v>
      </c>
      <c r="O25" s="460">
        <v>2120</v>
      </c>
      <c r="P25" s="167" t="str">
        <f>VLOOKUP(O25,'Centri di Costo'!$A$2:$B$179,2,FALSE)</f>
        <v xml:space="preserve">Att. Ord. Thiene - Laboratori Lab. Biotecnologie e Microbiologia </v>
      </c>
      <c r="Q25" s="121" t="s">
        <v>2003</v>
      </c>
      <c r="R25" s="4" t="s">
        <v>380</v>
      </c>
    </row>
    <row r="26" spans="1:18" ht="35.25" customHeight="1" outlineLevel="2">
      <c r="A26" s="85" t="s">
        <v>308</v>
      </c>
      <c r="B26" s="408">
        <v>22</v>
      </c>
      <c r="C26" s="85" t="s">
        <v>309</v>
      </c>
      <c r="D26" s="86" t="s">
        <v>22</v>
      </c>
      <c r="E26" s="87">
        <v>2018</v>
      </c>
      <c r="F26" s="455">
        <v>270</v>
      </c>
      <c r="G26" s="120" t="s">
        <v>381</v>
      </c>
      <c r="H26" s="120" t="s">
        <v>382</v>
      </c>
      <c r="I26" s="456">
        <v>6000</v>
      </c>
      <c r="J26" s="457" t="s">
        <v>9</v>
      </c>
      <c r="K26" s="458">
        <v>2</v>
      </c>
      <c r="L26" s="458">
        <v>2</v>
      </c>
      <c r="M26" s="459" t="s">
        <v>1026</v>
      </c>
      <c r="N26" s="119" t="str">
        <f>VLOOKUP(M26,'PF Uscite Investim'!$C$2:$E$22,2,FALSE)</f>
        <v>Impianti e macchinari</v>
      </c>
      <c r="O26" s="460">
        <v>2080</v>
      </c>
      <c r="P26" s="167" t="str">
        <f>VLOOKUP(O26,'Centri di Costo'!$A$2:$B$179,2,FALSE)</f>
        <v>Att. Ord. Thiene - Spese Generali</v>
      </c>
      <c r="Q26" s="121" t="s">
        <v>2003</v>
      </c>
      <c r="R26" s="4" t="s">
        <v>144</v>
      </c>
    </row>
    <row r="27" spans="1:18" ht="44.25" customHeight="1" outlineLevel="2">
      <c r="A27" s="85" t="s">
        <v>308</v>
      </c>
      <c r="B27" s="408">
        <v>22</v>
      </c>
      <c r="C27" s="85" t="s">
        <v>309</v>
      </c>
      <c r="D27" s="86" t="s">
        <v>22</v>
      </c>
      <c r="E27" s="87">
        <v>2018</v>
      </c>
      <c r="F27" s="455">
        <v>270</v>
      </c>
      <c r="G27" s="120" t="s">
        <v>381</v>
      </c>
      <c r="H27" s="120" t="s">
        <v>1638</v>
      </c>
      <c r="I27" s="456">
        <v>11000</v>
      </c>
      <c r="J27" s="457" t="s">
        <v>9</v>
      </c>
      <c r="K27" s="458">
        <v>2</v>
      </c>
      <c r="L27" s="458">
        <v>2</v>
      </c>
      <c r="M27" s="459" t="s">
        <v>1026</v>
      </c>
      <c r="N27" s="119" t="str">
        <f>VLOOKUP(M27,'PF Uscite Investim'!$C$2:$E$22,2,FALSE)</f>
        <v>Impianti e macchinari</v>
      </c>
      <c r="O27" s="460">
        <v>2080</v>
      </c>
      <c r="P27" s="167" t="str">
        <f>VLOOKUP(O27,'Centri di Costo'!$A$2:$B$179,2,FALSE)</f>
        <v>Att. Ord. Thiene - Spese Generali</v>
      </c>
      <c r="Q27" s="121" t="s">
        <v>2003</v>
      </c>
      <c r="R27" s="4" t="s">
        <v>377</v>
      </c>
    </row>
    <row r="28" spans="1:18" s="139" customFormat="1" ht="35.25" customHeight="1" outlineLevel="2">
      <c r="A28" s="115" t="s">
        <v>308</v>
      </c>
      <c r="B28" s="468">
        <v>22</v>
      </c>
      <c r="C28" s="115" t="s">
        <v>309</v>
      </c>
      <c r="D28" s="411" t="s">
        <v>22</v>
      </c>
      <c r="E28" s="412">
        <v>2018</v>
      </c>
      <c r="F28" s="475">
        <v>270</v>
      </c>
      <c r="G28" s="123" t="s">
        <v>381</v>
      </c>
      <c r="H28" s="123" t="s">
        <v>383</v>
      </c>
      <c r="I28" s="476">
        <v>28000</v>
      </c>
      <c r="J28" s="477" t="s">
        <v>9</v>
      </c>
      <c r="K28" s="478">
        <v>2</v>
      </c>
      <c r="L28" s="478">
        <v>2</v>
      </c>
      <c r="M28" s="481" t="s">
        <v>1321</v>
      </c>
      <c r="N28" s="118" t="str">
        <f>VLOOKUP(M28,'PF Uscite Investim'!$C$2:$E$22,2,FALSE)</f>
        <v xml:space="preserve">Attrezzature </v>
      </c>
      <c r="O28" s="480">
        <v>2080</v>
      </c>
      <c r="P28" s="168" t="str">
        <f>VLOOKUP(O28,'Centri di Costo'!$A$2:$B$179,2,FALSE)</f>
        <v>Att. Ord. Thiene - Spese Generali</v>
      </c>
      <c r="Q28" s="121" t="s">
        <v>2003</v>
      </c>
      <c r="R28" s="155" t="s">
        <v>377</v>
      </c>
    </row>
    <row r="29" spans="1:18" s="491" customFormat="1" ht="16.5" customHeight="1" outlineLevel="1">
      <c r="A29" s="492"/>
      <c r="B29" s="485" t="s">
        <v>1906</v>
      </c>
      <c r="C29" s="493"/>
      <c r="D29" s="486"/>
      <c r="E29" s="487"/>
      <c r="F29" s="501" t="s">
        <v>1938</v>
      </c>
      <c r="G29" s="494" t="str">
        <f>C28</f>
        <v>SETTORE BIOTECNOLOGIE AGROALIMENTARI</v>
      </c>
      <c r="H29" s="494"/>
      <c r="I29" s="495">
        <f>SUBTOTAL(9,I23:I28)</f>
        <v>52400</v>
      </c>
      <c r="J29" s="488"/>
      <c r="K29" s="489"/>
      <c r="L29" s="489"/>
      <c r="M29" s="490"/>
      <c r="N29" s="496"/>
      <c r="O29" s="497"/>
      <c r="P29" s="498"/>
      <c r="R29" s="499"/>
    </row>
    <row r="30" spans="1:18" ht="35.25" customHeight="1" outlineLevel="2">
      <c r="A30" s="94" t="s">
        <v>308</v>
      </c>
      <c r="B30" s="408">
        <v>23</v>
      </c>
      <c r="C30" s="94" t="s">
        <v>384</v>
      </c>
      <c r="D30" s="100" t="s">
        <v>22</v>
      </c>
      <c r="E30" s="101">
        <v>2018</v>
      </c>
      <c r="F30" s="449">
        <v>165</v>
      </c>
      <c r="G30" s="121" t="s">
        <v>582</v>
      </c>
      <c r="H30" s="121" t="s">
        <v>583</v>
      </c>
      <c r="I30" s="450">
        <v>2700</v>
      </c>
      <c r="J30" s="451" t="s">
        <v>36</v>
      </c>
      <c r="K30" s="452">
        <v>2</v>
      </c>
      <c r="L30" s="452">
        <v>2</v>
      </c>
      <c r="M30" s="453">
        <v>36</v>
      </c>
      <c r="N30" s="128" t="str">
        <f>VLOOKUP(M30,'PF Uscite Investim'!$C$2:$E$22,2,FALSE)</f>
        <v>Manutenzione straordinaria su beni di terzi</v>
      </c>
      <c r="O30" s="454">
        <v>2522</v>
      </c>
      <c r="P30" s="169" t="str">
        <f>VLOOKUP(O30,'Centri di Costo'!$A$2:$B$179,2,FALSE)</f>
        <v>Att. Ord. Nat.  MUC - Cansiglio (per il 2018)</v>
      </c>
      <c r="Q30" s="120" t="s">
        <v>2004</v>
      </c>
      <c r="R30" s="114" t="s">
        <v>584</v>
      </c>
    </row>
    <row r="31" spans="1:18" ht="35.25" customHeight="1" outlineLevel="2">
      <c r="A31" s="85" t="s">
        <v>308</v>
      </c>
      <c r="B31" s="408">
        <v>23</v>
      </c>
      <c r="C31" s="85" t="s">
        <v>384</v>
      </c>
      <c r="D31" s="86" t="s">
        <v>22</v>
      </c>
      <c r="E31" s="87">
        <v>2018</v>
      </c>
      <c r="F31" s="455">
        <v>165</v>
      </c>
      <c r="G31" s="120" t="s">
        <v>582</v>
      </c>
      <c r="H31" s="120" t="s">
        <v>585</v>
      </c>
      <c r="I31" s="456">
        <v>16500</v>
      </c>
      <c r="J31" s="457" t="s">
        <v>36</v>
      </c>
      <c r="K31" s="458">
        <v>2</v>
      </c>
      <c r="L31" s="458">
        <v>2</v>
      </c>
      <c r="M31" s="459" t="s">
        <v>1321</v>
      </c>
      <c r="N31" s="119" t="str">
        <f>VLOOKUP(M31,'PF Uscite Investim'!$C$2:$E$22,2,FALSE)</f>
        <v xml:space="preserve">Attrezzature </v>
      </c>
      <c r="O31" s="460">
        <v>2524</v>
      </c>
      <c r="P31" s="167" t="str">
        <f>VLOOKUP(O31,'Centri di Costo'!$A$2:$B$179,2,FALSE)</f>
        <v>Att. Ord. Ed. Nat. MAV, Foresteria e Casone - Vallevecchia (per il 2018)</v>
      </c>
      <c r="Q31" s="120" t="s">
        <v>2004</v>
      </c>
      <c r="R31" s="4" t="s">
        <v>25</v>
      </c>
    </row>
    <row r="32" spans="1:18" s="139" customFormat="1" ht="35.25" customHeight="1" outlineLevel="2">
      <c r="A32" s="115" t="s">
        <v>308</v>
      </c>
      <c r="B32" s="468">
        <v>23</v>
      </c>
      <c r="C32" s="115" t="s">
        <v>384</v>
      </c>
      <c r="D32" s="411" t="s">
        <v>22</v>
      </c>
      <c r="E32" s="412">
        <v>2018</v>
      </c>
      <c r="F32" s="475">
        <v>165</v>
      </c>
      <c r="G32" s="123" t="s">
        <v>582</v>
      </c>
      <c r="H32" s="123" t="s">
        <v>586</v>
      </c>
      <c r="I32" s="476">
        <v>35000</v>
      </c>
      <c r="J32" s="477" t="s">
        <v>36</v>
      </c>
      <c r="K32" s="478">
        <v>2</v>
      </c>
      <c r="L32" s="478">
        <v>2</v>
      </c>
      <c r="M32" s="481" t="s">
        <v>1322</v>
      </c>
      <c r="N32" s="118" t="str">
        <f>VLOOKUP(M32,'PF Uscite Investim'!$C$2:$E$22,2,FALSE)</f>
        <v>Mobili e arredi</v>
      </c>
      <c r="O32" s="480">
        <v>2524</v>
      </c>
      <c r="P32" s="168" t="str">
        <f>VLOOKUP(O32,'Centri di Costo'!$A$2:$B$179,2,FALSE)</f>
        <v>Att. Ord. Ed. Nat. MAV, Foresteria e Casone - Vallevecchia (per il 2018)</v>
      </c>
      <c r="Q32" s="120" t="s">
        <v>2004</v>
      </c>
      <c r="R32" s="155" t="s">
        <v>577</v>
      </c>
    </row>
    <row r="33" spans="1:18" s="491" customFormat="1" ht="16.5" customHeight="1" outlineLevel="1">
      <c r="A33" s="492"/>
      <c r="B33" s="485" t="s">
        <v>1987</v>
      </c>
      <c r="C33" s="493"/>
      <c r="D33" s="486"/>
      <c r="E33" s="487"/>
      <c r="F33" s="501" t="s">
        <v>1938</v>
      </c>
      <c r="G33" s="494" t="str">
        <f>C32</f>
        <v>SETTORE ECONOMIA, MERCATI E COMPETITIVITA'</v>
      </c>
      <c r="H33" s="494"/>
      <c r="I33" s="495">
        <f>SUBTOTAL(9,I30:I32)</f>
        <v>54200</v>
      </c>
      <c r="J33" s="488"/>
      <c r="K33" s="489"/>
      <c r="L33" s="489"/>
      <c r="M33" s="490"/>
      <c r="N33" s="496"/>
      <c r="O33" s="497"/>
      <c r="P33" s="498"/>
      <c r="R33" s="499"/>
    </row>
    <row r="34" spans="1:18" ht="35.25" customHeight="1" outlineLevel="2">
      <c r="A34" s="94" t="s">
        <v>5</v>
      </c>
      <c r="B34" s="408">
        <v>42</v>
      </c>
      <c r="C34" s="94" t="s">
        <v>6</v>
      </c>
      <c r="D34" s="100" t="s">
        <v>22</v>
      </c>
      <c r="E34" s="101">
        <v>2018</v>
      </c>
      <c r="F34" s="449">
        <v>281</v>
      </c>
      <c r="G34" s="121" t="s">
        <v>23</v>
      </c>
      <c r="H34" s="121" t="s">
        <v>24</v>
      </c>
      <c r="I34" s="450">
        <v>800</v>
      </c>
      <c r="J34" s="451" t="s">
        <v>9</v>
      </c>
      <c r="K34" s="452">
        <v>2</v>
      </c>
      <c r="L34" s="452">
        <v>2</v>
      </c>
      <c r="M34" s="461" t="s">
        <v>1321</v>
      </c>
      <c r="N34" s="128" t="str">
        <f>VLOOKUP(M34,'PF Uscite Investim'!$C$2:$E$22,2,FALSE)</f>
        <v xml:space="preserve">Attrezzature </v>
      </c>
      <c r="O34" s="454">
        <v>4208</v>
      </c>
      <c r="P34" s="169" t="str">
        <f>VLOOKUP(O34,'Centri di Costo'!$A$2:$B$179,2,FALSE)</f>
        <v>Att. Ord. Uff. Stampa - Spese Generali</v>
      </c>
      <c r="Q34" s="121" t="s">
        <v>2009</v>
      </c>
      <c r="R34" s="114" t="s">
        <v>25</v>
      </c>
    </row>
    <row r="35" spans="1:18" ht="35.25" customHeight="1" outlineLevel="2">
      <c r="A35" s="85" t="s">
        <v>5</v>
      </c>
      <c r="B35" s="408">
        <v>42</v>
      </c>
      <c r="C35" s="85" t="s">
        <v>6</v>
      </c>
      <c r="D35" s="86" t="s">
        <v>22</v>
      </c>
      <c r="E35" s="87">
        <v>2018</v>
      </c>
      <c r="F35" s="455">
        <v>281</v>
      </c>
      <c r="G35" s="120" t="s">
        <v>23</v>
      </c>
      <c r="H35" s="120" t="s">
        <v>26</v>
      </c>
      <c r="I35" s="456">
        <v>1000</v>
      </c>
      <c r="J35" s="457" t="s">
        <v>9</v>
      </c>
      <c r="K35" s="458">
        <v>2</v>
      </c>
      <c r="L35" s="458">
        <v>2</v>
      </c>
      <c r="M35" s="462" t="s">
        <v>1321</v>
      </c>
      <c r="N35" s="119" t="str">
        <f>VLOOKUP(M35,'PF Uscite Investim'!$C$2:$E$22,2,FALSE)</f>
        <v xml:space="preserve">Attrezzature </v>
      </c>
      <c r="O35" s="460">
        <v>4208</v>
      </c>
      <c r="P35" s="167" t="str">
        <f>VLOOKUP(O35,'Centri di Costo'!$A$2:$B$179,2,FALSE)</f>
        <v>Att. Ord. Uff. Stampa - Spese Generali</v>
      </c>
      <c r="Q35" s="121" t="s">
        <v>2009</v>
      </c>
      <c r="R35" s="4" t="s">
        <v>25</v>
      </c>
    </row>
    <row r="36" spans="1:18" ht="35.25" customHeight="1" outlineLevel="2">
      <c r="A36" s="85" t="s">
        <v>5</v>
      </c>
      <c r="B36" s="408">
        <v>42</v>
      </c>
      <c r="C36" s="85" t="s">
        <v>6</v>
      </c>
      <c r="D36" s="86" t="s">
        <v>22</v>
      </c>
      <c r="E36" s="87">
        <v>2018</v>
      </c>
      <c r="F36" s="455">
        <v>281</v>
      </c>
      <c r="G36" s="120" t="s">
        <v>23</v>
      </c>
      <c r="H36" s="120" t="s">
        <v>27</v>
      </c>
      <c r="I36" s="456">
        <v>400</v>
      </c>
      <c r="J36" s="457" t="s">
        <v>9</v>
      </c>
      <c r="K36" s="458">
        <v>2</v>
      </c>
      <c r="L36" s="458">
        <v>2</v>
      </c>
      <c r="M36" s="462" t="s">
        <v>1321</v>
      </c>
      <c r="N36" s="119" t="str">
        <f>VLOOKUP(M36,'PF Uscite Investim'!$C$2:$E$22,2,FALSE)</f>
        <v xml:space="preserve">Attrezzature </v>
      </c>
      <c r="O36" s="460">
        <v>4208</v>
      </c>
      <c r="P36" s="167" t="str">
        <f>VLOOKUP(O36,'Centri di Costo'!$A$2:$B$179,2,FALSE)</f>
        <v>Att. Ord. Uff. Stampa - Spese Generali</v>
      </c>
      <c r="Q36" s="121" t="s">
        <v>2009</v>
      </c>
      <c r="R36" s="4" t="s">
        <v>25</v>
      </c>
    </row>
    <row r="37" spans="1:18" ht="35.25" customHeight="1" outlineLevel="2">
      <c r="A37" s="85" t="s">
        <v>5</v>
      </c>
      <c r="B37" s="408">
        <v>42</v>
      </c>
      <c r="C37" s="85" t="s">
        <v>6</v>
      </c>
      <c r="D37" s="86" t="s">
        <v>22</v>
      </c>
      <c r="E37" s="87">
        <v>2018</v>
      </c>
      <c r="F37" s="455">
        <v>281</v>
      </c>
      <c r="G37" s="120" t="s">
        <v>23</v>
      </c>
      <c r="H37" s="120" t="s">
        <v>28</v>
      </c>
      <c r="I37" s="456">
        <v>2000</v>
      </c>
      <c r="J37" s="457" t="s">
        <v>9</v>
      </c>
      <c r="K37" s="458">
        <v>2</v>
      </c>
      <c r="L37" s="458">
        <v>2</v>
      </c>
      <c r="M37" s="462" t="s">
        <v>1321</v>
      </c>
      <c r="N37" s="119" t="str">
        <f>VLOOKUP(M37,'PF Uscite Investim'!$C$2:$E$22,2,FALSE)</f>
        <v xml:space="preserve">Attrezzature </v>
      </c>
      <c r="O37" s="460">
        <v>4208</v>
      </c>
      <c r="P37" s="167" t="str">
        <f>VLOOKUP(O37,'Centri di Costo'!$A$2:$B$179,2,FALSE)</f>
        <v>Att. Ord. Uff. Stampa - Spese Generali</v>
      </c>
      <c r="Q37" s="121" t="s">
        <v>2009</v>
      </c>
      <c r="R37" s="4" t="s">
        <v>25</v>
      </c>
    </row>
    <row r="38" spans="1:18" ht="35.25" customHeight="1" outlineLevel="2">
      <c r="A38" s="85" t="s">
        <v>5</v>
      </c>
      <c r="B38" s="408">
        <v>42</v>
      </c>
      <c r="C38" s="85" t="s">
        <v>6</v>
      </c>
      <c r="D38" s="86" t="s">
        <v>22</v>
      </c>
      <c r="E38" s="87">
        <v>2018</v>
      </c>
      <c r="F38" s="455">
        <v>281</v>
      </c>
      <c r="G38" s="120" t="s">
        <v>23</v>
      </c>
      <c r="H38" s="120" t="s">
        <v>2027</v>
      </c>
      <c r="I38" s="456">
        <v>1800</v>
      </c>
      <c r="J38" s="457" t="s">
        <v>9</v>
      </c>
      <c r="K38" s="458">
        <v>2</v>
      </c>
      <c r="L38" s="458">
        <v>2</v>
      </c>
      <c r="M38" s="462" t="s">
        <v>1321</v>
      </c>
      <c r="N38" s="119" t="str">
        <f>VLOOKUP(M38,'PF Uscite Investim'!$C$2:$E$22,2,FALSE)</f>
        <v xml:space="preserve">Attrezzature </v>
      </c>
      <c r="O38" s="460">
        <v>4208</v>
      </c>
      <c r="P38" s="167" t="str">
        <f>VLOOKUP(O38,'Centri di Costo'!$A$2:$B$179,2,FALSE)</f>
        <v>Att. Ord. Uff. Stampa - Spese Generali</v>
      </c>
      <c r="Q38" s="121" t="s">
        <v>2009</v>
      </c>
      <c r="R38" s="4" t="s">
        <v>25</v>
      </c>
    </row>
    <row r="39" spans="1:18" ht="35.25" customHeight="1" outlineLevel="2">
      <c r="A39" s="85" t="s">
        <v>5</v>
      </c>
      <c r="B39" s="408">
        <v>42</v>
      </c>
      <c r="C39" s="85" t="s">
        <v>6</v>
      </c>
      <c r="D39" s="86" t="s">
        <v>22</v>
      </c>
      <c r="E39" s="87">
        <v>2018</v>
      </c>
      <c r="F39" s="455">
        <v>281</v>
      </c>
      <c r="G39" s="120" t="s">
        <v>23</v>
      </c>
      <c r="H39" s="120" t="s">
        <v>29</v>
      </c>
      <c r="I39" s="456">
        <v>300</v>
      </c>
      <c r="J39" s="457" t="s">
        <v>9</v>
      </c>
      <c r="K39" s="458">
        <v>2</v>
      </c>
      <c r="L39" s="458">
        <v>2</v>
      </c>
      <c r="M39" s="462" t="s">
        <v>1321</v>
      </c>
      <c r="N39" s="119" t="str">
        <f>VLOOKUP(M39,'PF Uscite Investim'!$C$2:$E$22,2,FALSE)</f>
        <v xml:space="preserve">Attrezzature </v>
      </c>
      <c r="O39" s="460">
        <v>4208</v>
      </c>
      <c r="P39" s="167" t="str">
        <f>VLOOKUP(O39,'Centri di Costo'!$A$2:$B$179,2,FALSE)</f>
        <v>Att. Ord. Uff. Stampa - Spese Generali</v>
      </c>
      <c r="Q39" s="121" t="s">
        <v>2009</v>
      </c>
      <c r="R39" s="4" t="s">
        <v>25</v>
      </c>
    </row>
    <row r="40" spans="1:18" ht="35.25" customHeight="1" outlineLevel="2">
      <c r="A40" s="85" t="s">
        <v>5</v>
      </c>
      <c r="B40" s="408">
        <v>42</v>
      </c>
      <c r="C40" s="85" t="s">
        <v>6</v>
      </c>
      <c r="D40" s="86" t="s">
        <v>22</v>
      </c>
      <c r="E40" s="87">
        <v>2018</v>
      </c>
      <c r="F40" s="455">
        <v>281</v>
      </c>
      <c r="G40" s="120" t="s">
        <v>23</v>
      </c>
      <c r="H40" s="120" t="s">
        <v>30</v>
      </c>
      <c r="I40" s="456">
        <v>3000</v>
      </c>
      <c r="J40" s="457" t="s">
        <v>9</v>
      </c>
      <c r="K40" s="458">
        <v>2</v>
      </c>
      <c r="L40" s="458">
        <v>2</v>
      </c>
      <c r="M40" s="462" t="s">
        <v>1321</v>
      </c>
      <c r="N40" s="119" t="str">
        <f>VLOOKUP(M40,'PF Uscite Investim'!$C$2:$E$22,2,FALSE)</f>
        <v xml:space="preserve">Attrezzature </v>
      </c>
      <c r="O40" s="460">
        <v>4208</v>
      </c>
      <c r="P40" s="167" t="str">
        <f>VLOOKUP(O40,'Centri di Costo'!$A$2:$B$179,2,FALSE)</f>
        <v>Att. Ord. Uff. Stampa - Spese Generali</v>
      </c>
      <c r="Q40" s="121" t="s">
        <v>2009</v>
      </c>
      <c r="R40" s="4" t="s">
        <v>13</v>
      </c>
    </row>
    <row r="41" spans="1:18" s="139" customFormat="1" ht="35.25" customHeight="1" outlineLevel="2">
      <c r="A41" s="115" t="s">
        <v>5</v>
      </c>
      <c r="B41" s="468">
        <v>42</v>
      </c>
      <c r="C41" s="115" t="s">
        <v>6</v>
      </c>
      <c r="D41" s="411" t="s">
        <v>22</v>
      </c>
      <c r="E41" s="412">
        <v>2018</v>
      </c>
      <c r="F41" s="475">
        <v>281</v>
      </c>
      <c r="G41" s="123" t="s">
        <v>23</v>
      </c>
      <c r="H41" s="123" t="s">
        <v>31</v>
      </c>
      <c r="I41" s="476">
        <v>1000</v>
      </c>
      <c r="J41" s="477" t="s">
        <v>9</v>
      </c>
      <c r="K41" s="478">
        <v>2</v>
      </c>
      <c r="L41" s="478">
        <v>2</v>
      </c>
      <c r="M41" s="479" t="s">
        <v>886</v>
      </c>
      <c r="N41" s="118" t="str">
        <f>VLOOKUP(M41,'PF Uscite Investim'!$C$2:$E$22,2,FALSE)</f>
        <v>Hardware</v>
      </c>
      <c r="O41" s="480">
        <v>4208</v>
      </c>
      <c r="P41" s="168" t="str">
        <f>VLOOKUP(O41,'Centri di Costo'!$A$2:$B$179,2,FALSE)</f>
        <v>Att. Ord. Uff. Stampa - Spese Generali</v>
      </c>
      <c r="Q41" s="121" t="s">
        <v>2014</v>
      </c>
      <c r="R41" s="155" t="s">
        <v>25</v>
      </c>
    </row>
    <row r="42" spans="1:18" s="491" customFormat="1" ht="16.5" customHeight="1" outlineLevel="1">
      <c r="A42" s="492"/>
      <c r="B42" s="485" t="s">
        <v>1919</v>
      </c>
      <c r="C42" s="493"/>
      <c r="D42" s="486"/>
      <c r="E42" s="487"/>
      <c r="F42" s="501" t="s">
        <v>1938</v>
      </c>
      <c r="G42" s="494" t="s">
        <v>1989</v>
      </c>
      <c r="H42" s="494"/>
      <c r="I42" s="495">
        <f>SUBTOTAL(9,I34:I41)</f>
        <v>10300</v>
      </c>
      <c r="J42" s="488"/>
      <c r="K42" s="489"/>
      <c r="L42" s="489"/>
      <c r="M42" s="502"/>
      <c r="N42" s="496"/>
      <c r="O42" s="497"/>
      <c r="P42" s="498"/>
      <c r="R42" s="499"/>
    </row>
    <row r="43" spans="1:18" ht="35.25" customHeight="1" outlineLevel="2">
      <c r="A43" s="94" t="s">
        <v>5</v>
      </c>
      <c r="B43" s="408">
        <v>49</v>
      </c>
      <c r="C43" s="85" t="s">
        <v>5</v>
      </c>
      <c r="D43" s="100" t="s">
        <v>7</v>
      </c>
      <c r="E43" s="101">
        <v>2018</v>
      </c>
      <c r="F43" s="449">
        <v>285</v>
      </c>
      <c r="G43" s="121" t="s">
        <v>33</v>
      </c>
      <c r="H43" s="121"/>
      <c r="I43" s="450">
        <v>60660</v>
      </c>
      <c r="J43" s="451" t="s">
        <v>9</v>
      </c>
      <c r="K43" s="452">
        <v>2</v>
      </c>
      <c r="L43" s="452">
        <v>5</v>
      </c>
      <c r="M43" s="452">
        <v>99</v>
      </c>
      <c r="N43" s="128" t="str">
        <f>VLOOKUP(M43,'PF Uscite Investim'!$C$2:$E$22,2,FALSE)</f>
        <v>Altre spese in conto capitale n.a.c.</v>
      </c>
      <c r="O43" s="484">
        <v>498</v>
      </c>
      <c r="P43" s="169" t="str">
        <f>VLOOKUP(O43,'Centri di Costo'!$A$2:$B$179,2,FALSE)</f>
        <v>Risorse indistinte - Direttore</v>
      </c>
      <c r="Q43" s="579" t="s">
        <v>1844</v>
      </c>
      <c r="R43" s="105" t="s">
        <v>13</v>
      </c>
    </row>
    <row r="44" spans="1:18" ht="35.25" customHeight="1" outlineLevel="2">
      <c r="A44" s="85" t="s">
        <v>5</v>
      </c>
      <c r="B44" s="409">
        <v>49</v>
      </c>
      <c r="C44" s="85" t="s">
        <v>5</v>
      </c>
      <c r="D44" s="86" t="s">
        <v>7</v>
      </c>
      <c r="E44" s="87">
        <v>2018</v>
      </c>
      <c r="F44" s="455">
        <v>285</v>
      </c>
      <c r="G44" s="120" t="s">
        <v>33</v>
      </c>
      <c r="H44" s="120"/>
      <c r="I44" s="456">
        <v>10110</v>
      </c>
      <c r="J44" s="457" t="s">
        <v>35</v>
      </c>
      <c r="K44" s="458">
        <v>2</v>
      </c>
      <c r="L44" s="458">
        <v>5</v>
      </c>
      <c r="M44" s="458">
        <v>99</v>
      </c>
      <c r="N44" s="119" t="str">
        <f>VLOOKUP(M44,'PF Uscite Investim'!$C$2:$E$22,2,FALSE)</f>
        <v>Altre spese in conto capitale n.a.c.</v>
      </c>
      <c r="O44" s="463">
        <v>498</v>
      </c>
      <c r="P44" s="167" t="str">
        <f>VLOOKUP(O44,'Centri di Costo'!$A$2:$B$179,2,FALSE)</f>
        <v>Risorse indistinte - Direttore</v>
      </c>
      <c r="Q44" s="579" t="s">
        <v>1844</v>
      </c>
      <c r="R44" s="7" t="s">
        <v>25</v>
      </c>
    </row>
    <row r="45" spans="1:18" s="139" customFormat="1" ht="35.25" customHeight="1" outlineLevel="2">
      <c r="A45" s="115" t="s">
        <v>5</v>
      </c>
      <c r="B45" s="482">
        <v>49</v>
      </c>
      <c r="C45" s="85" t="s">
        <v>5</v>
      </c>
      <c r="D45" s="411" t="s">
        <v>7</v>
      </c>
      <c r="E45" s="412">
        <v>2018</v>
      </c>
      <c r="F45" s="475">
        <v>285</v>
      </c>
      <c r="G45" s="123" t="s">
        <v>33</v>
      </c>
      <c r="H45" s="123"/>
      <c r="I45" s="476">
        <v>30330</v>
      </c>
      <c r="J45" s="477" t="s">
        <v>36</v>
      </c>
      <c r="K45" s="478">
        <v>2</v>
      </c>
      <c r="L45" s="478">
        <v>5</v>
      </c>
      <c r="M45" s="478">
        <v>99</v>
      </c>
      <c r="N45" s="118" t="str">
        <f>VLOOKUP(M45,'PF Uscite Investim'!$C$2:$E$22,2,FALSE)</f>
        <v>Altre spese in conto capitale n.a.c.</v>
      </c>
      <c r="O45" s="483">
        <v>498</v>
      </c>
      <c r="P45" s="168" t="str">
        <f>VLOOKUP(O45,'Centri di Costo'!$A$2:$B$179,2,FALSE)</f>
        <v>Risorse indistinte - Direttore</v>
      </c>
      <c r="Q45" s="579" t="s">
        <v>1844</v>
      </c>
      <c r="R45" s="420" t="s">
        <v>25</v>
      </c>
    </row>
    <row r="46" spans="1:18" s="491" customFormat="1" ht="16.5" customHeight="1" outlineLevel="1">
      <c r="A46" s="492"/>
      <c r="B46" s="485" t="s">
        <v>1924</v>
      </c>
      <c r="C46" s="493"/>
      <c r="D46" s="486"/>
      <c r="E46" s="487"/>
      <c r="F46" s="501" t="s">
        <v>1938</v>
      </c>
      <c r="G46" s="494" t="str">
        <f>C45</f>
        <v>DIREZIONE DELL'AGENZIA</v>
      </c>
      <c r="H46" s="494"/>
      <c r="I46" s="495">
        <f>SUBTOTAL(9,I43:I45)</f>
        <v>101100</v>
      </c>
      <c r="J46" s="488"/>
      <c r="K46" s="489"/>
      <c r="L46" s="489"/>
      <c r="M46" s="489"/>
      <c r="N46" s="496"/>
      <c r="O46" s="503"/>
      <c r="P46" s="498"/>
      <c r="R46" s="504"/>
    </row>
    <row r="47" spans="1:18" ht="35.25" customHeight="1" outlineLevel="2">
      <c r="A47" s="94" t="s">
        <v>89</v>
      </c>
      <c r="B47" s="408">
        <v>59</v>
      </c>
      <c r="C47" s="94" t="s">
        <v>90</v>
      </c>
      <c r="D47" s="100" t="s">
        <v>22</v>
      </c>
      <c r="E47" s="101">
        <v>2018</v>
      </c>
      <c r="F47" s="449">
        <v>166</v>
      </c>
      <c r="G47" s="121" t="s">
        <v>142</v>
      </c>
      <c r="H47" s="121" t="s">
        <v>143</v>
      </c>
      <c r="I47" s="450">
        <v>11000</v>
      </c>
      <c r="J47" s="451" t="s">
        <v>9</v>
      </c>
      <c r="K47" s="452">
        <v>2</v>
      </c>
      <c r="L47" s="452">
        <v>2</v>
      </c>
      <c r="M47" s="453" t="s">
        <v>1026</v>
      </c>
      <c r="N47" s="128" t="str">
        <f>VLOOKUP(M47,'PF Uscite Investim'!$C$2:$E$22,2,FALSE)</f>
        <v>Impianti e macchinari</v>
      </c>
      <c r="O47" s="454">
        <v>5911</v>
      </c>
      <c r="P47" s="169" t="str">
        <f>VLOOKUP(O47,'Centri di Costo'!$A$2:$B$179,2,FALSE)</f>
        <v>Att. Ord. Patrimonio - Agripolis e imposte sul patrimonio</v>
      </c>
      <c r="Q47" s="2" t="s">
        <v>2014</v>
      </c>
      <c r="R47" s="114" t="s">
        <v>144</v>
      </c>
    </row>
    <row r="48" spans="1:18" ht="35.25" customHeight="1" outlineLevel="2">
      <c r="A48" s="85" t="s">
        <v>89</v>
      </c>
      <c r="B48" s="408">
        <v>59</v>
      </c>
      <c r="C48" s="85" t="s">
        <v>90</v>
      </c>
      <c r="D48" s="86" t="s">
        <v>22</v>
      </c>
      <c r="E48" s="87">
        <v>2018</v>
      </c>
      <c r="F48" s="455">
        <v>166</v>
      </c>
      <c r="G48" s="120" t="s">
        <v>142</v>
      </c>
      <c r="H48" s="120" t="s">
        <v>145</v>
      </c>
      <c r="I48" s="456">
        <v>4500</v>
      </c>
      <c r="J48" s="457" t="s">
        <v>9</v>
      </c>
      <c r="K48" s="458">
        <v>2</v>
      </c>
      <c r="L48" s="458">
        <v>2</v>
      </c>
      <c r="M48" s="459" t="s">
        <v>886</v>
      </c>
      <c r="N48" s="119" t="str">
        <f>VLOOKUP(M48,'PF Uscite Investim'!$C$2:$E$22,2,FALSE)</f>
        <v>Hardware</v>
      </c>
      <c r="O48" s="460">
        <v>5911</v>
      </c>
      <c r="P48" s="167" t="str">
        <f>VLOOKUP(O48,'Centri di Costo'!$A$2:$B$179,2,FALSE)</f>
        <v>Att. Ord. Patrimonio - Agripolis e imposte sul patrimonio</v>
      </c>
      <c r="Q48" s="2" t="s">
        <v>2014</v>
      </c>
      <c r="R48" s="4" t="s">
        <v>146</v>
      </c>
    </row>
    <row r="49" spans="1:18" ht="35.25" customHeight="1" outlineLevel="2">
      <c r="A49" s="85" t="s">
        <v>89</v>
      </c>
      <c r="B49" s="408">
        <v>59</v>
      </c>
      <c r="C49" s="85" t="s">
        <v>90</v>
      </c>
      <c r="D49" s="86" t="s">
        <v>22</v>
      </c>
      <c r="E49" s="87">
        <v>2018</v>
      </c>
      <c r="F49" s="455">
        <v>166</v>
      </c>
      <c r="G49" s="120" t="s">
        <v>142</v>
      </c>
      <c r="H49" s="120" t="s">
        <v>147</v>
      </c>
      <c r="I49" s="456">
        <v>2000</v>
      </c>
      <c r="J49" s="457" t="s">
        <v>9</v>
      </c>
      <c r="K49" s="458">
        <v>2</v>
      </c>
      <c r="L49" s="458">
        <v>2</v>
      </c>
      <c r="M49" s="459" t="s">
        <v>1026</v>
      </c>
      <c r="N49" s="119" t="str">
        <f>VLOOKUP(M49,'PF Uscite Investim'!$C$2:$E$22,2,FALSE)</f>
        <v>Impianti e macchinari</v>
      </c>
      <c r="O49" s="460">
        <v>5911</v>
      </c>
      <c r="P49" s="167" t="str">
        <f>VLOOKUP(O49,'Centri di Costo'!$A$2:$B$179,2,FALSE)</f>
        <v>Att. Ord. Patrimonio - Agripolis e imposte sul patrimonio</v>
      </c>
      <c r="Q49" s="2" t="s">
        <v>2014</v>
      </c>
      <c r="R49" s="4" t="s">
        <v>144</v>
      </c>
    </row>
    <row r="50" spans="1:18" s="139" customFormat="1" ht="35.25" customHeight="1" outlineLevel="2">
      <c r="A50" s="115" t="s">
        <v>89</v>
      </c>
      <c r="B50" s="468">
        <v>59</v>
      </c>
      <c r="C50" s="115" t="s">
        <v>90</v>
      </c>
      <c r="D50" s="411" t="s">
        <v>22</v>
      </c>
      <c r="E50" s="412">
        <v>2018</v>
      </c>
      <c r="F50" s="475">
        <v>166</v>
      </c>
      <c r="G50" s="123" t="s">
        <v>142</v>
      </c>
      <c r="H50" s="123" t="s">
        <v>148</v>
      </c>
      <c r="I50" s="476">
        <v>5500</v>
      </c>
      <c r="J50" s="477" t="s">
        <v>9</v>
      </c>
      <c r="K50" s="478">
        <v>2</v>
      </c>
      <c r="L50" s="478">
        <v>2</v>
      </c>
      <c r="M50" s="481" t="s">
        <v>886</v>
      </c>
      <c r="N50" s="118" t="str">
        <f>VLOOKUP(M50,'PF Uscite Investim'!$C$2:$E$22,2,FALSE)</f>
        <v>Hardware</v>
      </c>
      <c r="O50" s="480">
        <v>5911</v>
      </c>
      <c r="P50" s="168" t="str">
        <f>VLOOKUP(O50,'Centri di Costo'!$A$2:$B$179,2,FALSE)</f>
        <v>Att. Ord. Patrimonio - Agripolis e imposte sul patrimonio</v>
      </c>
      <c r="Q50" s="2" t="s">
        <v>2014</v>
      </c>
      <c r="R50" s="155" t="s">
        <v>149</v>
      </c>
    </row>
    <row r="51" spans="1:18" s="491" customFormat="1" ht="16.5" customHeight="1" outlineLevel="1">
      <c r="A51" s="492"/>
      <c r="B51" s="485" t="s">
        <v>1988</v>
      </c>
      <c r="C51" s="493"/>
      <c r="D51" s="486"/>
      <c r="E51" s="487"/>
      <c r="F51" s="501" t="s">
        <v>1938</v>
      </c>
      <c r="G51" s="494" t="str">
        <f>A50</f>
        <v>SEZIONE AMMINISTRATIVA</v>
      </c>
      <c r="H51" s="494"/>
      <c r="I51" s="495">
        <f>SUBTOTAL(9,I47:I50)</f>
        <v>23000</v>
      </c>
      <c r="J51" s="488"/>
      <c r="K51" s="489"/>
      <c r="L51" s="489"/>
      <c r="M51" s="490"/>
      <c r="N51" s="496"/>
      <c r="O51" s="497"/>
      <c r="P51" s="498"/>
      <c r="R51" s="499"/>
    </row>
    <row r="52" spans="1:18" s="491" customFormat="1" ht="26.25" customHeight="1" outlineLevel="1" collapsed="1">
      <c r="A52" s="492"/>
      <c r="B52" s="485" t="s">
        <v>1936</v>
      </c>
      <c r="C52" s="493"/>
      <c r="D52" s="486"/>
      <c r="E52" s="487"/>
      <c r="F52" s="507" t="s">
        <v>1990</v>
      </c>
      <c r="G52" s="494"/>
      <c r="H52" s="494"/>
      <c r="I52" s="495">
        <f>SUBTOTAL(9,I3:I50)</f>
        <v>939300</v>
      </c>
      <c r="J52" s="488"/>
      <c r="K52" s="489"/>
      <c r="L52" s="489"/>
      <c r="M52" s="490"/>
      <c r="N52" s="496"/>
      <c r="O52" s="497"/>
      <c r="P52" s="498"/>
      <c r="R52" s="499"/>
    </row>
    <row r="53" ht="12.75">
      <c r="F53" s="464"/>
    </row>
  </sheetData>
  <autoFilter ref="A2:Q51"/>
  <printOptions/>
  <pageMargins left="0.4724409448818898" right="0.35433070866141736" top="0.6692913385826772" bottom="0.5511811023622047" header="0.2362204724409449" footer="0.2755905511811024"/>
  <pageSetup horizontalDpi="600" verticalDpi="600" orientation="landscape" paperSize="8" scale="90" r:id="rId1"/>
  <headerFooter alignWithMargins="0">
    <oddHeader>&amp;CPEG 2018 - Att. Ordinaria
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C179"/>
  <sheetViews>
    <sheetView workbookViewId="0" topLeftCell="A157">
      <selection activeCell="B178" sqref="B178"/>
    </sheetView>
  </sheetViews>
  <sheetFormatPr defaultColWidth="9.140625" defaultRowHeight="12.75"/>
  <cols>
    <col min="2" max="2" width="53.8515625" style="0" customWidth="1"/>
    <col min="3" max="3" width="11.140625" style="0" customWidth="1"/>
    <col min="4" max="4" width="8.7109375" style="0" customWidth="1"/>
    <col min="6" max="6" width="13.7109375" style="0" customWidth="1"/>
  </cols>
  <sheetData>
    <row r="1" spans="1:8" s="12" customFormat="1" ht="25.5" customHeight="1">
      <c r="A1" s="9" t="s">
        <v>1114</v>
      </c>
      <c r="B1" s="10" t="s">
        <v>1848</v>
      </c>
      <c r="C1" s="8" t="s">
        <v>1112</v>
      </c>
      <c r="D1" s="8" t="s">
        <v>1113</v>
      </c>
      <c r="E1" s="10" t="s">
        <v>1116</v>
      </c>
      <c r="F1" s="9" t="s">
        <v>1117</v>
      </c>
      <c r="G1" s="9" t="s">
        <v>1118</v>
      </c>
      <c r="H1" s="11"/>
    </row>
    <row r="2" spans="1:8" s="2" customFormat="1" ht="18.75" customHeight="1">
      <c r="A2" s="15">
        <v>1100</v>
      </c>
      <c r="B2" s="16" t="s">
        <v>1119</v>
      </c>
      <c r="C2" s="13" t="s">
        <v>9</v>
      </c>
      <c r="D2" s="14">
        <v>4</v>
      </c>
      <c r="E2" s="17" t="s">
        <v>10</v>
      </c>
      <c r="F2" s="18" t="s">
        <v>1120</v>
      </c>
      <c r="G2" s="18"/>
      <c r="H2" s="19"/>
    </row>
    <row r="3" spans="1:107" s="29" customFormat="1" ht="15">
      <c r="A3" s="21">
        <v>1101</v>
      </c>
      <c r="B3" s="22" t="s">
        <v>1121</v>
      </c>
      <c r="C3" s="20" t="s">
        <v>9</v>
      </c>
      <c r="D3" s="21">
        <v>5</v>
      </c>
      <c r="E3" s="23"/>
      <c r="F3" s="24" t="s">
        <v>1120</v>
      </c>
      <c r="G3" s="25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</row>
    <row r="4" spans="1:107" s="29" customFormat="1" ht="15">
      <c r="A4" s="21">
        <v>1102</v>
      </c>
      <c r="B4" s="22" t="s">
        <v>1122</v>
      </c>
      <c r="C4" s="20" t="s">
        <v>9</v>
      </c>
      <c r="D4" s="21">
        <v>5</v>
      </c>
      <c r="E4" s="23"/>
      <c r="F4" s="24" t="s">
        <v>1120</v>
      </c>
      <c r="G4" s="25"/>
      <c r="H4" s="2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</row>
    <row r="5" spans="1:8" s="2" customFormat="1" ht="18.75" customHeight="1">
      <c r="A5" s="30">
        <v>1109</v>
      </c>
      <c r="B5" s="31" t="s">
        <v>1123</v>
      </c>
      <c r="C5" s="13" t="s">
        <v>9</v>
      </c>
      <c r="D5" s="30">
        <v>4</v>
      </c>
      <c r="E5" s="32"/>
      <c r="F5" s="33"/>
      <c r="G5" s="34" t="s">
        <v>1124</v>
      </c>
      <c r="H5" s="19"/>
    </row>
    <row r="6" spans="1:8" s="39" customFormat="1" ht="19.5" customHeight="1">
      <c r="A6" s="36">
        <v>1110</v>
      </c>
      <c r="B6" s="37" t="s">
        <v>1125</v>
      </c>
      <c r="C6" s="35" t="s">
        <v>9</v>
      </c>
      <c r="D6" s="14">
        <v>4</v>
      </c>
      <c r="E6" s="17" t="s">
        <v>10</v>
      </c>
      <c r="F6" s="38" t="s">
        <v>1126</v>
      </c>
      <c r="G6" s="18"/>
      <c r="H6" s="19"/>
    </row>
    <row r="7" spans="1:107" s="29" customFormat="1" ht="15">
      <c r="A7" s="21">
        <v>1111</v>
      </c>
      <c r="B7" s="22" t="s">
        <v>1127</v>
      </c>
      <c r="C7" s="20" t="s">
        <v>9</v>
      </c>
      <c r="D7" s="21">
        <v>5</v>
      </c>
      <c r="E7" s="23"/>
      <c r="F7" s="24" t="s">
        <v>1126</v>
      </c>
      <c r="G7" s="25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</row>
    <row r="8" spans="1:107" s="29" customFormat="1" ht="15">
      <c r="A8" s="21">
        <v>1112</v>
      </c>
      <c r="B8" s="22" t="s">
        <v>1128</v>
      </c>
      <c r="C8" s="20" t="s">
        <v>9</v>
      </c>
      <c r="D8" s="21">
        <v>5</v>
      </c>
      <c r="E8" s="23"/>
      <c r="F8" s="24" t="s">
        <v>1126</v>
      </c>
      <c r="G8" s="25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</row>
    <row r="9" spans="1:107" s="44" customFormat="1" ht="15">
      <c r="A9" s="40">
        <v>1118</v>
      </c>
      <c r="B9" s="41" t="s">
        <v>1129</v>
      </c>
      <c r="C9" s="20" t="s">
        <v>9</v>
      </c>
      <c r="D9" s="40">
        <v>5</v>
      </c>
      <c r="E9" s="42"/>
      <c r="F9" s="24" t="s">
        <v>1126</v>
      </c>
      <c r="G9" s="43"/>
      <c r="H9" s="26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</row>
    <row r="10" spans="1:8" s="2" customFormat="1" ht="19.5" customHeight="1">
      <c r="A10" s="46">
        <v>1119</v>
      </c>
      <c r="B10" s="31" t="s">
        <v>1130</v>
      </c>
      <c r="C10" s="13" t="s">
        <v>9</v>
      </c>
      <c r="D10" s="45">
        <v>4</v>
      </c>
      <c r="E10" s="32"/>
      <c r="F10" s="31"/>
      <c r="G10" s="31" t="s">
        <v>1124</v>
      </c>
      <c r="H10" s="19"/>
    </row>
    <row r="11" spans="1:8" s="39" customFormat="1" ht="20.25" customHeight="1">
      <c r="A11" s="15">
        <v>1120</v>
      </c>
      <c r="B11" s="16" t="s">
        <v>1131</v>
      </c>
      <c r="C11" s="13" t="s">
        <v>9</v>
      </c>
      <c r="D11" s="14">
        <v>4</v>
      </c>
      <c r="E11" s="17" t="s">
        <v>10</v>
      </c>
      <c r="F11" s="38" t="s">
        <v>1120</v>
      </c>
      <c r="G11" s="16"/>
      <c r="H11" s="19"/>
    </row>
    <row r="12" spans="1:107" s="29" customFormat="1" ht="15">
      <c r="A12" s="21">
        <v>1121</v>
      </c>
      <c r="B12" s="22" t="s">
        <v>1541</v>
      </c>
      <c r="C12" s="20" t="s">
        <v>9</v>
      </c>
      <c r="D12" s="21">
        <v>5</v>
      </c>
      <c r="E12" s="23"/>
      <c r="F12" s="24" t="s">
        <v>1132</v>
      </c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</row>
    <row r="13" spans="1:107" s="29" customFormat="1" ht="15">
      <c r="A13" s="21">
        <v>1122</v>
      </c>
      <c r="B13" s="22" t="s">
        <v>1133</v>
      </c>
      <c r="C13" s="20" t="s">
        <v>9</v>
      </c>
      <c r="D13" s="21">
        <v>5</v>
      </c>
      <c r="E13" s="23"/>
      <c r="F13" s="24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</row>
    <row r="14" spans="1:107" s="29" customFormat="1" ht="15">
      <c r="A14" s="21">
        <v>1123</v>
      </c>
      <c r="B14" s="22" t="s">
        <v>1134</v>
      </c>
      <c r="C14" s="20" t="s">
        <v>9</v>
      </c>
      <c r="D14" s="21">
        <v>5</v>
      </c>
      <c r="E14" s="23"/>
      <c r="F14" s="24" t="s">
        <v>1135</v>
      </c>
      <c r="G14" s="25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</row>
    <row r="15" spans="1:107" s="29" customFormat="1" ht="15">
      <c r="A15" s="21">
        <v>1124</v>
      </c>
      <c r="B15" s="22" t="s">
        <v>1136</v>
      </c>
      <c r="C15" s="20" t="s">
        <v>9</v>
      </c>
      <c r="D15" s="21">
        <v>5</v>
      </c>
      <c r="E15" s="23"/>
      <c r="F15" s="24" t="s">
        <v>1137</v>
      </c>
      <c r="G15" s="25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</row>
    <row r="16" spans="1:107" s="44" customFormat="1" ht="15">
      <c r="A16" s="40">
        <v>1128</v>
      </c>
      <c r="B16" s="41" t="s">
        <v>1138</v>
      </c>
      <c r="C16" s="20" t="s">
        <v>9</v>
      </c>
      <c r="D16" s="40">
        <v>5</v>
      </c>
      <c r="E16" s="42"/>
      <c r="F16" s="24" t="s">
        <v>1120</v>
      </c>
      <c r="G16" s="43"/>
      <c r="H16" s="26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</row>
    <row r="17" spans="1:8" s="2" customFormat="1" ht="19.5" customHeight="1">
      <c r="A17" s="46">
        <v>1129</v>
      </c>
      <c r="B17" s="31" t="s">
        <v>1139</v>
      </c>
      <c r="C17" s="13" t="s">
        <v>9</v>
      </c>
      <c r="D17" s="45">
        <v>4</v>
      </c>
      <c r="E17" s="32"/>
      <c r="F17" s="31"/>
      <c r="G17" s="31" t="s">
        <v>1124</v>
      </c>
      <c r="H17" s="19"/>
    </row>
    <row r="18" spans="1:8" s="39" customFormat="1" ht="20.25" customHeight="1">
      <c r="A18" s="15">
        <v>1130</v>
      </c>
      <c r="B18" s="16" t="s">
        <v>1140</v>
      </c>
      <c r="C18" s="13" t="s">
        <v>9</v>
      </c>
      <c r="D18" s="14">
        <v>4</v>
      </c>
      <c r="E18" s="17" t="s">
        <v>10</v>
      </c>
      <c r="F18" s="38" t="s">
        <v>1120</v>
      </c>
      <c r="G18" s="16"/>
      <c r="H18" s="19"/>
    </row>
    <row r="19" spans="1:107" s="29" customFormat="1" ht="15">
      <c r="A19" s="21">
        <v>1131</v>
      </c>
      <c r="B19" s="22" t="s">
        <v>1141</v>
      </c>
      <c r="C19" s="20" t="s">
        <v>9</v>
      </c>
      <c r="D19" s="21">
        <v>5</v>
      </c>
      <c r="E19" s="23"/>
      <c r="F19" s="24" t="s">
        <v>1142</v>
      </c>
      <c r="G19" s="25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</row>
    <row r="20" spans="1:107" s="29" customFormat="1" ht="15">
      <c r="A20" s="21">
        <v>1132</v>
      </c>
      <c r="B20" s="22" t="s">
        <v>1143</v>
      </c>
      <c r="C20" s="20" t="s">
        <v>9</v>
      </c>
      <c r="D20" s="21">
        <v>5</v>
      </c>
      <c r="E20" s="23"/>
      <c r="F20" s="24" t="s">
        <v>1142</v>
      </c>
      <c r="G20" s="25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</row>
    <row r="21" spans="1:107" s="29" customFormat="1" ht="15">
      <c r="A21" s="21">
        <v>1133</v>
      </c>
      <c r="B21" s="22" t="s">
        <v>1144</v>
      </c>
      <c r="C21" s="20" t="s">
        <v>9</v>
      </c>
      <c r="D21" s="21">
        <v>5</v>
      </c>
      <c r="E21" s="23"/>
      <c r="F21" s="24" t="s">
        <v>1142</v>
      </c>
      <c r="G21" s="25"/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</row>
    <row r="22" spans="1:107" s="44" customFormat="1" ht="15">
      <c r="A22" s="40">
        <v>1138</v>
      </c>
      <c r="B22" s="41" t="s">
        <v>1145</v>
      </c>
      <c r="C22" s="20" t="s">
        <v>9</v>
      </c>
      <c r="D22" s="40">
        <v>5</v>
      </c>
      <c r="E22" s="42"/>
      <c r="F22" s="24" t="s">
        <v>1142</v>
      </c>
      <c r="G22" s="43"/>
      <c r="H22" s="26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</row>
    <row r="23" spans="1:8" s="2" customFormat="1" ht="19.5" customHeight="1">
      <c r="A23" s="46">
        <v>1139</v>
      </c>
      <c r="B23" s="31" t="s">
        <v>1146</v>
      </c>
      <c r="C23" s="13" t="s">
        <v>9</v>
      </c>
      <c r="D23" s="45">
        <v>4</v>
      </c>
      <c r="E23" s="32"/>
      <c r="F23" s="31"/>
      <c r="G23" s="31" t="s">
        <v>1124</v>
      </c>
      <c r="H23" s="19"/>
    </row>
    <row r="24" spans="1:8" s="39" customFormat="1" ht="23.25" customHeight="1">
      <c r="A24" s="15">
        <v>1140</v>
      </c>
      <c r="B24" s="16" t="s">
        <v>1147</v>
      </c>
      <c r="C24" s="13" t="s">
        <v>9</v>
      </c>
      <c r="D24" s="14">
        <v>4</v>
      </c>
      <c r="E24" s="17" t="s">
        <v>10</v>
      </c>
      <c r="F24" s="38" t="s">
        <v>1120</v>
      </c>
      <c r="G24" s="16"/>
      <c r="H24" s="19"/>
    </row>
    <row r="25" spans="1:107" s="29" customFormat="1" ht="15">
      <c r="A25" s="21">
        <v>1141</v>
      </c>
      <c r="B25" s="22" t="s">
        <v>1148</v>
      </c>
      <c r="C25" s="20" t="s">
        <v>9</v>
      </c>
      <c r="D25" s="21">
        <v>5</v>
      </c>
      <c r="E25" s="23"/>
      <c r="F25" s="24" t="s">
        <v>1135</v>
      </c>
      <c r="G25" s="25"/>
      <c r="H25" s="26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</row>
    <row r="26" spans="1:107" s="29" customFormat="1" ht="15">
      <c r="A26" s="21">
        <v>1142</v>
      </c>
      <c r="B26" s="22" t="s">
        <v>1149</v>
      </c>
      <c r="C26" s="20" t="s">
        <v>9</v>
      </c>
      <c r="D26" s="21">
        <v>5</v>
      </c>
      <c r="E26" s="23"/>
      <c r="F26" s="24" t="s">
        <v>1135</v>
      </c>
      <c r="G26" s="25"/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</row>
    <row r="27" spans="1:107" s="44" customFormat="1" ht="15">
      <c r="A27" s="40">
        <v>1148</v>
      </c>
      <c r="B27" s="41" t="s">
        <v>1150</v>
      </c>
      <c r="C27" s="20" t="s">
        <v>9</v>
      </c>
      <c r="D27" s="40">
        <v>5</v>
      </c>
      <c r="E27" s="42"/>
      <c r="F27" s="24" t="s">
        <v>1135</v>
      </c>
      <c r="G27" s="43"/>
      <c r="H27" s="26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</row>
    <row r="28" spans="1:8" s="2" customFormat="1" ht="19.5" customHeight="1">
      <c r="A28" s="46">
        <v>1149</v>
      </c>
      <c r="B28" s="31" t="s">
        <v>1151</v>
      </c>
      <c r="C28" s="13" t="s">
        <v>9</v>
      </c>
      <c r="D28" s="45">
        <v>4</v>
      </c>
      <c r="E28" s="32"/>
      <c r="F28" s="31"/>
      <c r="G28" s="31" t="s">
        <v>1124</v>
      </c>
      <c r="H28" s="19"/>
    </row>
    <row r="29" spans="1:107" s="52" customFormat="1" ht="21.75" customHeight="1">
      <c r="A29" s="48">
        <v>1160</v>
      </c>
      <c r="B29" s="49" t="s">
        <v>1152</v>
      </c>
      <c r="C29" s="13" t="s">
        <v>9</v>
      </c>
      <c r="D29" s="48">
        <v>4</v>
      </c>
      <c r="E29" s="17" t="s">
        <v>10</v>
      </c>
      <c r="F29" s="38" t="s">
        <v>1120</v>
      </c>
      <c r="G29" s="50"/>
      <c r="H29" s="51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</row>
    <row r="30" spans="1:107" s="52" customFormat="1" ht="21.75" customHeight="1">
      <c r="A30" s="48">
        <v>1161</v>
      </c>
      <c r="B30" s="49" t="s">
        <v>1153</v>
      </c>
      <c r="C30" s="13" t="s">
        <v>9</v>
      </c>
      <c r="D30" s="48">
        <v>4</v>
      </c>
      <c r="E30" s="17" t="s">
        <v>10</v>
      </c>
      <c r="F30" s="38" t="s">
        <v>1120</v>
      </c>
      <c r="G30" s="50"/>
      <c r="H30" s="51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</row>
    <row r="31" spans="1:107" s="52" customFormat="1" ht="21.75" customHeight="1">
      <c r="A31" s="46">
        <v>1169</v>
      </c>
      <c r="B31" s="31" t="s">
        <v>1154</v>
      </c>
      <c r="C31" s="13" t="s">
        <v>9</v>
      </c>
      <c r="D31" s="45">
        <v>4</v>
      </c>
      <c r="E31" s="32"/>
      <c r="F31" s="31"/>
      <c r="G31" s="31" t="s">
        <v>1124</v>
      </c>
      <c r="H31" s="51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</row>
    <row r="32" spans="1:8" s="39" customFormat="1" ht="23.25" customHeight="1">
      <c r="A32" s="15">
        <v>1190</v>
      </c>
      <c r="B32" s="16" t="s">
        <v>1155</v>
      </c>
      <c r="C32" s="13" t="s">
        <v>9</v>
      </c>
      <c r="D32" s="14">
        <v>4</v>
      </c>
      <c r="E32" s="17" t="s">
        <v>10</v>
      </c>
      <c r="F32" s="38" t="s">
        <v>1120</v>
      </c>
      <c r="G32" s="16"/>
      <c r="H32" s="19"/>
    </row>
    <row r="33" spans="1:8" s="53" customFormat="1" ht="23.25" customHeight="1">
      <c r="A33" s="46">
        <v>1199</v>
      </c>
      <c r="B33" s="31" t="s">
        <v>1156</v>
      </c>
      <c r="C33" s="13" t="s">
        <v>9</v>
      </c>
      <c r="D33" s="45">
        <v>4</v>
      </c>
      <c r="E33" s="32"/>
      <c r="F33" s="38" t="s">
        <v>1120</v>
      </c>
      <c r="G33" s="31"/>
      <c r="H33" s="19"/>
    </row>
    <row r="34" spans="1:107" s="52" customFormat="1" ht="21.75" customHeight="1">
      <c r="A34" s="48">
        <v>1300</v>
      </c>
      <c r="B34" s="49" t="s">
        <v>1157</v>
      </c>
      <c r="C34" s="13" t="s">
        <v>9</v>
      </c>
      <c r="D34" s="48">
        <v>4</v>
      </c>
      <c r="E34" s="17" t="s">
        <v>10</v>
      </c>
      <c r="F34" s="38" t="s">
        <v>1158</v>
      </c>
      <c r="G34" s="50"/>
      <c r="H34" s="51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</row>
    <row r="35" spans="1:107" s="52" customFormat="1" ht="21.75" customHeight="1">
      <c r="A35" s="30">
        <v>1309</v>
      </c>
      <c r="B35" s="31" t="s">
        <v>1159</v>
      </c>
      <c r="C35" s="13" t="s">
        <v>9</v>
      </c>
      <c r="D35" s="30">
        <v>4</v>
      </c>
      <c r="E35" s="32"/>
      <c r="F35" s="33"/>
      <c r="G35" s="50" t="s">
        <v>1124</v>
      </c>
      <c r="H35" s="51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</row>
    <row r="36" spans="1:8" s="39" customFormat="1" ht="23.25" customHeight="1">
      <c r="A36" s="15">
        <v>1410</v>
      </c>
      <c r="B36" s="16" t="s">
        <v>1160</v>
      </c>
      <c r="C36" s="13" t="s">
        <v>9</v>
      </c>
      <c r="D36" s="14">
        <v>4</v>
      </c>
      <c r="E36" s="17" t="s">
        <v>10</v>
      </c>
      <c r="F36" s="38" t="s">
        <v>1161</v>
      </c>
      <c r="G36" s="16"/>
      <c r="H36" s="19"/>
    </row>
    <row r="37" spans="1:8" s="53" customFormat="1" ht="23.25" customHeight="1">
      <c r="A37" s="46">
        <v>1419</v>
      </c>
      <c r="B37" s="31" t="s">
        <v>1162</v>
      </c>
      <c r="C37" s="13" t="s">
        <v>9</v>
      </c>
      <c r="D37" s="45">
        <v>4</v>
      </c>
      <c r="E37" s="32"/>
      <c r="F37" s="31"/>
      <c r="G37" s="31" t="s">
        <v>1124</v>
      </c>
      <c r="H37" s="19"/>
    </row>
    <row r="38" spans="1:8" s="39" customFormat="1" ht="23.25" customHeight="1">
      <c r="A38" s="15">
        <v>1420</v>
      </c>
      <c r="B38" s="16" t="s">
        <v>1163</v>
      </c>
      <c r="C38" s="13" t="s">
        <v>9</v>
      </c>
      <c r="D38" s="14">
        <v>4</v>
      </c>
      <c r="E38" s="17" t="s">
        <v>10</v>
      </c>
      <c r="F38" s="38" t="s">
        <v>1164</v>
      </c>
      <c r="G38" s="16"/>
      <c r="H38" s="19"/>
    </row>
    <row r="39" spans="1:8" s="53" customFormat="1" ht="23.25" customHeight="1">
      <c r="A39" s="46">
        <v>1429</v>
      </c>
      <c r="B39" s="31" t="s">
        <v>1165</v>
      </c>
      <c r="C39" s="13" t="s">
        <v>9</v>
      </c>
      <c r="D39" s="45">
        <v>4</v>
      </c>
      <c r="E39" s="32"/>
      <c r="F39" s="31"/>
      <c r="G39" s="31" t="s">
        <v>1124</v>
      </c>
      <c r="H39" s="19"/>
    </row>
    <row r="40" spans="1:8" s="39" customFormat="1" ht="23.25" customHeight="1">
      <c r="A40" s="15">
        <v>1430</v>
      </c>
      <c r="B40" s="16" t="s">
        <v>1166</v>
      </c>
      <c r="C40" s="13" t="s">
        <v>9</v>
      </c>
      <c r="D40" s="14">
        <v>4</v>
      </c>
      <c r="E40" s="17" t="s">
        <v>10</v>
      </c>
      <c r="F40" s="38" t="s">
        <v>1167</v>
      </c>
      <c r="G40" s="16"/>
      <c r="H40" s="19"/>
    </row>
    <row r="41" spans="1:8" s="53" customFormat="1" ht="23.25" customHeight="1">
      <c r="A41" s="46">
        <v>1439</v>
      </c>
      <c r="B41" s="31" t="s">
        <v>1168</v>
      </c>
      <c r="C41" s="13" t="s">
        <v>9</v>
      </c>
      <c r="D41" s="45">
        <v>4</v>
      </c>
      <c r="E41" s="32"/>
      <c r="F41" s="31"/>
      <c r="G41" s="31" t="s">
        <v>1124</v>
      </c>
      <c r="H41" s="19"/>
    </row>
    <row r="42" spans="1:8" s="39" customFormat="1" ht="23.25" customHeight="1">
      <c r="A42" s="15">
        <v>1490</v>
      </c>
      <c r="B42" s="16" t="s">
        <v>1169</v>
      </c>
      <c r="C42" s="13" t="s">
        <v>9</v>
      </c>
      <c r="D42" s="14">
        <v>4</v>
      </c>
      <c r="E42" s="17" t="s">
        <v>10</v>
      </c>
      <c r="F42" s="38" t="s">
        <v>1170</v>
      </c>
      <c r="G42" s="16"/>
      <c r="H42" s="19"/>
    </row>
    <row r="43" spans="1:8" s="53" customFormat="1" ht="23.25" customHeight="1">
      <c r="A43" s="46">
        <v>1499</v>
      </c>
      <c r="B43" s="31" t="s">
        <v>1171</v>
      </c>
      <c r="C43" s="13" t="s">
        <v>9</v>
      </c>
      <c r="D43" s="45">
        <v>4</v>
      </c>
      <c r="E43" s="32"/>
      <c r="F43" s="31"/>
      <c r="G43" s="31" t="s">
        <v>1124</v>
      </c>
      <c r="H43" s="19"/>
    </row>
    <row r="44" spans="1:8" s="39" customFormat="1" ht="23.25" customHeight="1">
      <c r="A44" s="15">
        <v>1510</v>
      </c>
      <c r="B44" s="16" t="s">
        <v>1172</v>
      </c>
      <c r="C44" s="54" t="s">
        <v>36</v>
      </c>
      <c r="D44" s="14">
        <v>4</v>
      </c>
      <c r="E44" s="17" t="s">
        <v>10</v>
      </c>
      <c r="F44" s="38" t="s">
        <v>1173</v>
      </c>
      <c r="G44" s="16"/>
      <c r="H44" s="19"/>
    </row>
    <row r="45" spans="1:107" s="29" customFormat="1" ht="15">
      <c r="A45" s="21">
        <v>1511</v>
      </c>
      <c r="B45" s="22" t="s">
        <v>1174</v>
      </c>
      <c r="C45" s="20" t="s">
        <v>36</v>
      </c>
      <c r="D45" s="21">
        <v>5</v>
      </c>
      <c r="E45" s="23"/>
      <c r="F45" s="24" t="s">
        <v>1173</v>
      </c>
      <c r="G45" s="25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</row>
    <row r="46" spans="1:107" s="29" customFormat="1" ht="15">
      <c r="A46" s="21">
        <v>1512</v>
      </c>
      <c r="B46" s="22" t="s">
        <v>1175</v>
      </c>
      <c r="C46" s="20" t="s">
        <v>36</v>
      </c>
      <c r="D46" s="21">
        <v>5</v>
      </c>
      <c r="E46" s="23"/>
      <c r="F46" s="24" t="s">
        <v>1173</v>
      </c>
      <c r="G46" s="25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</row>
    <row r="47" spans="1:107" s="29" customFormat="1" ht="15">
      <c r="A47" s="21">
        <v>1513</v>
      </c>
      <c r="B47" s="22" t="s">
        <v>1176</v>
      </c>
      <c r="C47" s="20" t="s">
        <v>36</v>
      </c>
      <c r="D47" s="21">
        <v>5</v>
      </c>
      <c r="E47" s="23"/>
      <c r="F47" s="24" t="s">
        <v>1173</v>
      </c>
      <c r="G47" s="25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</row>
    <row r="48" spans="1:107" s="29" customFormat="1" ht="15">
      <c r="A48" s="21">
        <v>1514</v>
      </c>
      <c r="B48" s="22" t="s">
        <v>1177</v>
      </c>
      <c r="C48" s="20" t="s">
        <v>36</v>
      </c>
      <c r="D48" s="21">
        <v>5</v>
      </c>
      <c r="E48" s="23"/>
      <c r="F48" s="24" t="s">
        <v>1173</v>
      </c>
      <c r="G48" s="25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</row>
    <row r="49" spans="1:107" s="29" customFormat="1" ht="15">
      <c r="A49" s="21">
        <v>1515</v>
      </c>
      <c r="B49" s="22" t="s">
        <v>1178</v>
      </c>
      <c r="C49" s="20" t="s">
        <v>36</v>
      </c>
      <c r="D49" s="21">
        <v>5</v>
      </c>
      <c r="E49" s="23"/>
      <c r="F49" s="24" t="s">
        <v>1173</v>
      </c>
      <c r="G49" s="361" t="s">
        <v>1179</v>
      </c>
      <c r="H49" s="26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</row>
    <row r="50" spans="1:107" s="44" customFormat="1" ht="15">
      <c r="A50" s="40">
        <v>1518</v>
      </c>
      <c r="B50" s="41" t="s">
        <v>1180</v>
      </c>
      <c r="C50" s="20" t="s">
        <v>36</v>
      </c>
      <c r="D50" s="40">
        <v>5</v>
      </c>
      <c r="E50" s="42"/>
      <c r="F50" s="24" t="s">
        <v>1173</v>
      </c>
      <c r="G50" s="43"/>
      <c r="H50" s="26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</row>
    <row r="51" spans="1:8" s="53" customFormat="1" ht="23.25" customHeight="1">
      <c r="A51" s="46">
        <v>1519</v>
      </c>
      <c r="B51" s="31" t="s">
        <v>1181</v>
      </c>
      <c r="C51" s="54" t="s">
        <v>36</v>
      </c>
      <c r="D51" s="45">
        <v>4</v>
      </c>
      <c r="E51" s="32"/>
      <c r="F51" s="31"/>
      <c r="G51" s="31" t="s">
        <v>1124</v>
      </c>
      <c r="H51" s="19"/>
    </row>
    <row r="52" spans="1:8" s="39" customFormat="1" ht="21" customHeight="1">
      <c r="A52" s="15">
        <v>1520</v>
      </c>
      <c r="B52" s="16" t="s">
        <v>1182</v>
      </c>
      <c r="C52" s="54" t="s">
        <v>36</v>
      </c>
      <c r="D52" s="14">
        <v>4</v>
      </c>
      <c r="E52" s="17" t="s">
        <v>10</v>
      </c>
      <c r="F52" s="38" t="s">
        <v>1183</v>
      </c>
      <c r="G52" s="16"/>
      <c r="H52" s="19"/>
    </row>
    <row r="53" spans="1:107" s="29" customFormat="1" ht="15">
      <c r="A53" s="21">
        <v>1521</v>
      </c>
      <c r="B53" s="22" t="s">
        <v>1184</v>
      </c>
      <c r="C53" s="20" t="s">
        <v>36</v>
      </c>
      <c r="D53" s="21">
        <v>5</v>
      </c>
      <c r="E53" s="23"/>
      <c r="F53" s="24" t="s">
        <v>1183</v>
      </c>
      <c r="G53" s="25"/>
      <c r="H53" s="26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</row>
    <row r="54" spans="1:107" s="29" customFormat="1" ht="15">
      <c r="A54" s="21">
        <v>1522</v>
      </c>
      <c r="B54" s="22" t="s">
        <v>1185</v>
      </c>
      <c r="C54" s="20" t="s">
        <v>36</v>
      </c>
      <c r="D54" s="21">
        <v>5</v>
      </c>
      <c r="E54" s="23"/>
      <c r="F54" s="24" t="s">
        <v>1183</v>
      </c>
      <c r="G54" s="25"/>
      <c r="H54" s="26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</row>
    <row r="55" spans="1:107" s="29" customFormat="1" ht="15">
      <c r="A55" s="21">
        <v>1523</v>
      </c>
      <c r="B55" s="22" t="s">
        <v>1186</v>
      </c>
      <c r="C55" s="20" t="s">
        <v>36</v>
      </c>
      <c r="D55" s="21">
        <v>5</v>
      </c>
      <c r="E55" s="23"/>
      <c r="F55" s="24" t="s">
        <v>1183</v>
      </c>
      <c r="G55" s="25"/>
      <c r="H55" s="26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</row>
    <row r="56" spans="1:107" s="44" customFormat="1" ht="15">
      <c r="A56" s="40">
        <v>1528</v>
      </c>
      <c r="B56" s="41" t="s">
        <v>1187</v>
      </c>
      <c r="C56" s="20" t="s">
        <v>36</v>
      </c>
      <c r="D56" s="40">
        <v>5</v>
      </c>
      <c r="E56" s="42"/>
      <c r="F56" s="24" t="s">
        <v>1183</v>
      </c>
      <c r="G56" s="43"/>
      <c r="H56" s="26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</row>
    <row r="57" spans="1:8" s="53" customFormat="1" ht="23.25" customHeight="1">
      <c r="A57" s="46">
        <v>1529</v>
      </c>
      <c r="B57" s="31" t="s">
        <v>1188</v>
      </c>
      <c r="C57" s="54" t="s">
        <v>36</v>
      </c>
      <c r="D57" s="45">
        <v>4</v>
      </c>
      <c r="E57" s="32"/>
      <c r="F57" s="31"/>
      <c r="G57" s="31" t="s">
        <v>1124</v>
      </c>
      <c r="H57" s="19"/>
    </row>
    <row r="58" spans="1:8" s="39" customFormat="1" ht="20.25" customHeight="1">
      <c r="A58" s="15">
        <v>1530</v>
      </c>
      <c r="B58" s="16" t="s">
        <v>1189</v>
      </c>
      <c r="C58" s="54" t="s">
        <v>36</v>
      </c>
      <c r="D58" s="14">
        <v>4</v>
      </c>
      <c r="E58" s="17" t="s">
        <v>10</v>
      </c>
      <c r="F58" s="38" t="s">
        <v>1190</v>
      </c>
      <c r="G58" s="16"/>
      <c r="H58" s="19"/>
    </row>
    <row r="59" spans="1:107" s="29" customFormat="1" ht="15">
      <c r="A59" s="21">
        <v>1531</v>
      </c>
      <c r="B59" s="22" t="s">
        <v>1191</v>
      </c>
      <c r="C59" s="20" t="s">
        <v>36</v>
      </c>
      <c r="D59" s="21">
        <v>5</v>
      </c>
      <c r="E59" s="23"/>
      <c r="F59" s="24" t="s">
        <v>1190</v>
      </c>
      <c r="G59" s="25"/>
      <c r="H59" s="26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</row>
    <row r="60" spans="1:107" s="29" customFormat="1" ht="15">
      <c r="A60" s="21">
        <v>1532</v>
      </c>
      <c r="B60" s="22" t="s">
        <v>1192</v>
      </c>
      <c r="C60" s="20" t="s">
        <v>36</v>
      </c>
      <c r="D60" s="21">
        <v>5</v>
      </c>
      <c r="E60" s="23"/>
      <c r="F60" s="24" t="s">
        <v>1190</v>
      </c>
      <c r="G60" s="25"/>
      <c r="H60" s="26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</row>
    <row r="61" spans="1:107" s="44" customFormat="1" ht="15">
      <c r="A61" s="40">
        <v>1538</v>
      </c>
      <c r="B61" s="41" t="s">
        <v>1193</v>
      </c>
      <c r="C61" s="20" t="s">
        <v>36</v>
      </c>
      <c r="D61" s="40">
        <v>5</v>
      </c>
      <c r="E61" s="42"/>
      <c r="F61" s="24" t="s">
        <v>1190</v>
      </c>
      <c r="G61" s="43"/>
      <c r="H61" s="26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</row>
    <row r="62" spans="1:8" s="53" customFormat="1" ht="23.25" customHeight="1">
      <c r="A62" s="46">
        <v>1539</v>
      </c>
      <c r="B62" s="31" t="s">
        <v>1194</v>
      </c>
      <c r="C62" s="54" t="s">
        <v>36</v>
      </c>
      <c r="D62" s="45">
        <v>4</v>
      </c>
      <c r="E62" s="32"/>
      <c r="F62" s="31"/>
      <c r="G62" s="31" t="s">
        <v>1124</v>
      </c>
      <c r="H62" s="19"/>
    </row>
    <row r="63" spans="1:8" s="39" customFormat="1" ht="20.25" customHeight="1">
      <c r="A63" s="15">
        <v>1550</v>
      </c>
      <c r="B63" s="16" t="s">
        <v>1195</v>
      </c>
      <c r="C63" s="54" t="s">
        <v>36</v>
      </c>
      <c r="D63" s="14">
        <v>4</v>
      </c>
      <c r="E63" s="17" t="s">
        <v>10</v>
      </c>
      <c r="F63" s="38" t="s">
        <v>1196</v>
      </c>
      <c r="G63" s="16"/>
      <c r="H63" s="19"/>
    </row>
    <row r="64" spans="1:107" s="29" customFormat="1" ht="15">
      <c r="A64" s="21">
        <v>1551</v>
      </c>
      <c r="B64" s="22" t="s">
        <v>1197</v>
      </c>
      <c r="C64" s="20" t="s">
        <v>36</v>
      </c>
      <c r="D64" s="21">
        <v>5</v>
      </c>
      <c r="E64" s="23"/>
      <c r="F64" s="24" t="s">
        <v>1196</v>
      </c>
      <c r="G64" s="25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</row>
    <row r="65" spans="1:107" s="29" customFormat="1" ht="15">
      <c r="A65" s="21">
        <v>1552</v>
      </c>
      <c r="B65" s="22" t="s">
        <v>1198</v>
      </c>
      <c r="C65" s="20" t="s">
        <v>36</v>
      </c>
      <c r="D65" s="21">
        <v>5</v>
      </c>
      <c r="E65" s="23"/>
      <c r="F65" s="24" t="s">
        <v>1196</v>
      </c>
      <c r="G65" s="25"/>
      <c r="H65" s="26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</row>
    <row r="66" spans="1:107" s="29" customFormat="1" ht="15">
      <c r="A66" s="21">
        <v>1553</v>
      </c>
      <c r="B66" s="22" t="s">
        <v>1199</v>
      </c>
      <c r="C66" s="20" t="s">
        <v>36</v>
      </c>
      <c r="D66" s="21">
        <v>5</v>
      </c>
      <c r="E66" s="23"/>
      <c r="F66" s="24" t="s">
        <v>1196</v>
      </c>
      <c r="G66" s="25"/>
      <c r="H66" s="26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</row>
    <row r="67" spans="1:107" s="44" customFormat="1" ht="15">
      <c r="A67" s="40">
        <v>1558</v>
      </c>
      <c r="B67" s="41" t="s">
        <v>1200</v>
      </c>
      <c r="C67" s="20" t="s">
        <v>36</v>
      </c>
      <c r="D67" s="40">
        <v>5</v>
      </c>
      <c r="E67" s="42"/>
      <c r="F67" s="24" t="s">
        <v>1196</v>
      </c>
      <c r="G67" s="43"/>
      <c r="H67" s="26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</row>
    <row r="68" spans="1:8" s="53" customFormat="1" ht="23.25" customHeight="1">
      <c r="A68" s="46">
        <v>1559</v>
      </c>
      <c r="B68" s="31" t="s">
        <v>1201</v>
      </c>
      <c r="C68" s="54" t="s">
        <v>36</v>
      </c>
      <c r="D68" s="45">
        <v>4</v>
      </c>
      <c r="E68" s="32"/>
      <c r="F68" s="31"/>
      <c r="G68" s="31" t="s">
        <v>1124</v>
      </c>
      <c r="H68" s="19"/>
    </row>
    <row r="69" spans="1:8" s="39" customFormat="1" ht="23.25" customHeight="1">
      <c r="A69" s="15">
        <v>1590</v>
      </c>
      <c r="B69" s="37" t="s">
        <v>1570</v>
      </c>
      <c r="C69" s="54" t="s">
        <v>36</v>
      </c>
      <c r="D69" s="14">
        <v>4</v>
      </c>
      <c r="E69" s="17" t="s">
        <v>10</v>
      </c>
      <c r="F69" s="38" t="s">
        <v>1202</v>
      </c>
      <c r="G69" s="16"/>
      <c r="H69" s="19"/>
    </row>
    <row r="70" spans="1:8" s="53" customFormat="1" ht="23.25" customHeight="1">
      <c r="A70" s="46">
        <v>1599</v>
      </c>
      <c r="B70" s="31" t="s">
        <v>1203</v>
      </c>
      <c r="C70" s="54" t="s">
        <v>36</v>
      </c>
      <c r="D70" s="45">
        <v>4</v>
      </c>
      <c r="E70" s="32"/>
      <c r="F70" s="38" t="s">
        <v>1202</v>
      </c>
      <c r="G70" s="31" t="s">
        <v>1124</v>
      </c>
      <c r="H70" s="19"/>
    </row>
    <row r="71" spans="1:107" s="52" customFormat="1" ht="16.5" customHeight="1">
      <c r="A71" s="36">
        <v>1910</v>
      </c>
      <c r="B71" s="37" t="s">
        <v>1204</v>
      </c>
      <c r="C71" s="54" t="s">
        <v>36</v>
      </c>
      <c r="D71" s="14">
        <v>4</v>
      </c>
      <c r="E71" s="17" t="s">
        <v>10</v>
      </c>
      <c r="F71" s="38" t="s">
        <v>1205</v>
      </c>
      <c r="G71" s="50"/>
      <c r="H71" s="51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</row>
    <row r="72" spans="1:8" s="53" customFormat="1" ht="17.25" customHeight="1">
      <c r="A72" s="46">
        <v>1919</v>
      </c>
      <c r="B72" s="31" t="s">
        <v>1206</v>
      </c>
      <c r="C72" s="54" t="s">
        <v>36</v>
      </c>
      <c r="D72" s="45">
        <v>4</v>
      </c>
      <c r="E72" s="32"/>
      <c r="F72" s="38" t="s">
        <v>1205</v>
      </c>
      <c r="G72" s="31" t="s">
        <v>1124</v>
      </c>
      <c r="H72" s="19"/>
    </row>
    <row r="73" spans="1:107" s="52" customFormat="1" ht="18.75" customHeight="1">
      <c r="A73" s="36">
        <v>1920</v>
      </c>
      <c r="B73" s="37" t="s">
        <v>1207</v>
      </c>
      <c r="C73" s="54" t="s">
        <v>36</v>
      </c>
      <c r="D73" s="14">
        <v>4</v>
      </c>
      <c r="E73" s="17" t="s">
        <v>10</v>
      </c>
      <c r="F73" s="38" t="s">
        <v>1208</v>
      </c>
      <c r="G73" s="50"/>
      <c r="H73" s="51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</row>
    <row r="74" spans="1:8" s="53" customFormat="1" ht="23.25" customHeight="1">
      <c r="A74" s="46">
        <v>1929</v>
      </c>
      <c r="B74" s="31" t="s">
        <v>1209</v>
      </c>
      <c r="C74" s="54" t="s">
        <v>36</v>
      </c>
      <c r="D74" s="45">
        <v>4</v>
      </c>
      <c r="E74" s="32"/>
      <c r="F74" s="38" t="s">
        <v>1208</v>
      </c>
      <c r="G74" s="31" t="s">
        <v>1124</v>
      </c>
      <c r="H74" s="19"/>
    </row>
    <row r="75" spans="1:107" s="52" customFormat="1" ht="16.5" customHeight="1">
      <c r="A75" s="36">
        <v>1990</v>
      </c>
      <c r="B75" s="37" t="s">
        <v>1210</v>
      </c>
      <c r="C75" s="13" t="s">
        <v>9</v>
      </c>
      <c r="D75" s="14">
        <v>4</v>
      </c>
      <c r="E75" s="17" t="s">
        <v>10</v>
      </c>
      <c r="F75" s="38" t="s">
        <v>1211</v>
      </c>
      <c r="G75" s="50"/>
      <c r="H75" s="51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</row>
    <row r="76" spans="1:107" s="29" customFormat="1" ht="18" customHeight="1">
      <c r="A76" s="21">
        <v>1991</v>
      </c>
      <c r="B76" s="22" t="s">
        <v>1212</v>
      </c>
      <c r="C76" s="20" t="s">
        <v>9</v>
      </c>
      <c r="D76" s="21">
        <v>5</v>
      </c>
      <c r="E76" s="23"/>
      <c r="F76" s="24" t="s">
        <v>1211</v>
      </c>
      <c r="G76" s="25"/>
      <c r="H76" s="26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</row>
    <row r="77" spans="1:107" s="29" customFormat="1" ht="18" customHeight="1">
      <c r="A77" s="21">
        <v>1992</v>
      </c>
      <c r="B77" s="22" t="s">
        <v>1213</v>
      </c>
      <c r="C77" s="20" t="s">
        <v>9</v>
      </c>
      <c r="D77" s="21">
        <v>5</v>
      </c>
      <c r="E77" s="23"/>
      <c r="F77" s="24" t="s">
        <v>1211</v>
      </c>
      <c r="G77" s="25"/>
      <c r="H77" s="26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</row>
    <row r="78" spans="1:8" s="386" customFormat="1" ht="20.25" customHeight="1" thickBot="1">
      <c r="A78" s="376">
        <v>1999</v>
      </c>
      <c r="B78" s="383" t="s">
        <v>1214</v>
      </c>
      <c r="C78" s="371" t="s">
        <v>9</v>
      </c>
      <c r="D78" s="378">
        <v>4</v>
      </c>
      <c r="E78" s="384"/>
      <c r="F78" s="385"/>
      <c r="G78" s="383" t="s">
        <v>1124</v>
      </c>
      <c r="H78" s="375"/>
    </row>
    <row r="79" spans="1:8" s="2" customFormat="1" ht="20.25" customHeight="1" thickTop="1">
      <c r="A79" s="380">
        <v>2010</v>
      </c>
      <c r="B79" s="381" t="s">
        <v>1216</v>
      </c>
      <c r="C79" s="365" t="s">
        <v>9</v>
      </c>
      <c r="D79" s="380">
        <v>4</v>
      </c>
      <c r="E79" s="367" t="s">
        <v>10</v>
      </c>
      <c r="F79" s="368" t="s">
        <v>1217</v>
      </c>
      <c r="G79" s="382"/>
      <c r="H79" s="19"/>
    </row>
    <row r="80" spans="1:8" s="53" customFormat="1" ht="23.25" customHeight="1">
      <c r="A80" s="46">
        <v>2019</v>
      </c>
      <c r="B80" s="31" t="s">
        <v>1218</v>
      </c>
      <c r="C80" s="13" t="s">
        <v>9</v>
      </c>
      <c r="D80" s="45">
        <v>4</v>
      </c>
      <c r="E80" s="32"/>
      <c r="F80" s="31"/>
      <c r="G80" s="31" t="s">
        <v>1124</v>
      </c>
      <c r="H80" s="19"/>
    </row>
    <row r="81" spans="1:8" s="2" customFormat="1" ht="20.25" customHeight="1">
      <c r="A81" s="48">
        <v>2020</v>
      </c>
      <c r="B81" s="49" t="s">
        <v>1219</v>
      </c>
      <c r="C81" s="13" t="s">
        <v>9</v>
      </c>
      <c r="D81" s="48">
        <v>4</v>
      </c>
      <c r="E81" s="17" t="s">
        <v>10</v>
      </c>
      <c r="F81" s="38" t="s">
        <v>1217</v>
      </c>
      <c r="G81" s="55"/>
      <c r="H81" s="19"/>
    </row>
    <row r="82" spans="1:8" s="53" customFormat="1" ht="23.25" customHeight="1">
      <c r="A82" s="46">
        <v>2029</v>
      </c>
      <c r="B82" s="31" t="s">
        <v>1220</v>
      </c>
      <c r="C82" s="13" t="s">
        <v>9</v>
      </c>
      <c r="D82" s="45">
        <v>4</v>
      </c>
      <c r="E82" s="32"/>
      <c r="F82" s="31"/>
      <c r="G82" s="31" t="s">
        <v>1124</v>
      </c>
      <c r="H82" s="19"/>
    </row>
    <row r="83" spans="1:8" s="2" customFormat="1" ht="20.25" customHeight="1">
      <c r="A83" s="48">
        <v>2030</v>
      </c>
      <c r="B83" s="49" t="s">
        <v>1221</v>
      </c>
      <c r="C83" s="13" t="s">
        <v>9</v>
      </c>
      <c r="D83" s="48">
        <v>4</v>
      </c>
      <c r="E83" s="17" t="s">
        <v>10</v>
      </c>
      <c r="F83" s="38" t="s">
        <v>1222</v>
      </c>
      <c r="G83" s="18"/>
      <c r="H83" s="19"/>
    </row>
    <row r="84" spans="1:8" s="53" customFormat="1" ht="23.25" customHeight="1">
      <c r="A84" s="46">
        <v>2039</v>
      </c>
      <c r="B84" s="31" t="s">
        <v>1223</v>
      </c>
      <c r="C84" s="13" t="s">
        <v>9</v>
      </c>
      <c r="D84" s="45">
        <v>4</v>
      </c>
      <c r="E84" s="32"/>
      <c r="F84" s="31"/>
      <c r="G84" s="31" t="s">
        <v>1124</v>
      </c>
      <c r="H84" s="19"/>
    </row>
    <row r="85" spans="1:8" s="2" customFormat="1" ht="20.25" customHeight="1">
      <c r="A85" s="48">
        <v>2080</v>
      </c>
      <c r="B85" s="49" t="s">
        <v>1224</v>
      </c>
      <c r="C85" s="13" t="s">
        <v>9</v>
      </c>
      <c r="D85" s="48">
        <v>4</v>
      </c>
      <c r="E85" s="17" t="s">
        <v>10</v>
      </c>
      <c r="F85" s="55"/>
      <c r="G85" s="18"/>
      <c r="H85" s="19"/>
    </row>
    <row r="86" spans="1:8" s="2" customFormat="1" ht="22.5" customHeight="1">
      <c r="A86" s="48">
        <v>2085</v>
      </c>
      <c r="B86" s="49" t="s">
        <v>1225</v>
      </c>
      <c r="C86" s="13" t="s">
        <v>9</v>
      </c>
      <c r="D86" s="48">
        <v>4</v>
      </c>
      <c r="E86" s="17" t="s">
        <v>10</v>
      </c>
      <c r="F86" s="56"/>
      <c r="G86" s="56"/>
      <c r="H86" s="19"/>
    </row>
    <row r="87" spans="1:8" s="47" customFormat="1" ht="20.25" customHeight="1">
      <c r="A87" s="48">
        <v>2110</v>
      </c>
      <c r="B87" s="49" t="s">
        <v>1226</v>
      </c>
      <c r="C87" s="13" t="s">
        <v>9</v>
      </c>
      <c r="D87" s="48">
        <v>4</v>
      </c>
      <c r="E87" s="17" t="s">
        <v>10</v>
      </c>
      <c r="F87" s="38" t="s">
        <v>1227</v>
      </c>
      <c r="G87" s="50"/>
      <c r="H87" s="51"/>
    </row>
    <row r="88" spans="1:8" s="53" customFormat="1" ht="23.25" customHeight="1">
      <c r="A88" s="46">
        <v>2119</v>
      </c>
      <c r="B88" s="31" t="s">
        <v>1228</v>
      </c>
      <c r="C88" s="13" t="s">
        <v>9</v>
      </c>
      <c r="D88" s="45">
        <v>4</v>
      </c>
      <c r="E88" s="32"/>
      <c r="F88" s="31"/>
      <c r="G88" s="31" t="s">
        <v>1124</v>
      </c>
      <c r="H88" s="19"/>
    </row>
    <row r="89" spans="1:8" s="47" customFormat="1" ht="20.25" customHeight="1">
      <c r="A89" s="48">
        <v>2120</v>
      </c>
      <c r="B89" s="49" t="s">
        <v>1229</v>
      </c>
      <c r="C89" s="13" t="s">
        <v>9</v>
      </c>
      <c r="D89" s="48">
        <v>4</v>
      </c>
      <c r="E89" s="17" t="s">
        <v>10</v>
      </c>
      <c r="F89" s="38" t="s">
        <v>1230</v>
      </c>
      <c r="G89" s="50"/>
      <c r="H89" s="51"/>
    </row>
    <row r="90" spans="1:8" s="53" customFormat="1" ht="23.25" customHeight="1">
      <c r="A90" s="46">
        <v>2129</v>
      </c>
      <c r="B90" s="31" t="s">
        <v>1231</v>
      </c>
      <c r="C90" s="13" t="s">
        <v>9</v>
      </c>
      <c r="D90" s="45">
        <v>4</v>
      </c>
      <c r="E90" s="32"/>
      <c r="F90" s="31"/>
      <c r="G90" s="31" t="s">
        <v>1124</v>
      </c>
      <c r="H90" s="19"/>
    </row>
    <row r="91" spans="1:8" s="2" customFormat="1" ht="22.5" customHeight="1">
      <c r="A91" s="48">
        <v>2310</v>
      </c>
      <c r="B91" s="49" t="s">
        <v>1232</v>
      </c>
      <c r="C91" s="13" t="s">
        <v>9</v>
      </c>
      <c r="D91" s="48">
        <v>4</v>
      </c>
      <c r="E91" s="17" t="s">
        <v>10</v>
      </c>
      <c r="F91" s="18"/>
      <c r="G91" s="18"/>
      <c r="H91" s="19"/>
    </row>
    <row r="92" spans="1:8" s="2" customFormat="1" ht="22.5" customHeight="1">
      <c r="A92" s="46">
        <v>2319</v>
      </c>
      <c r="B92" s="31" t="s">
        <v>1233</v>
      </c>
      <c r="C92" s="13" t="s">
        <v>9</v>
      </c>
      <c r="D92" s="45">
        <v>4</v>
      </c>
      <c r="E92" s="32"/>
      <c r="F92" s="18"/>
      <c r="G92" s="18" t="s">
        <v>1124</v>
      </c>
      <c r="H92" s="19" t="s">
        <v>1215</v>
      </c>
    </row>
    <row r="93" spans="1:8" s="47" customFormat="1" ht="22.5" customHeight="1">
      <c r="A93" s="48">
        <v>2320</v>
      </c>
      <c r="B93" s="49" t="s">
        <v>1234</v>
      </c>
      <c r="C93" s="13" t="s">
        <v>9</v>
      </c>
      <c r="D93" s="48">
        <v>4</v>
      </c>
      <c r="E93" s="17" t="s">
        <v>10</v>
      </c>
      <c r="F93" s="33"/>
      <c r="G93" s="50"/>
      <c r="H93" s="51"/>
    </row>
    <row r="94" spans="1:8" s="47" customFormat="1" ht="22.5" customHeight="1">
      <c r="A94" s="46">
        <v>2329</v>
      </c>
      <c r="B94" s="31" t="s">
        <v>1235</v>
      </c>
      <c r="C94" s="13" t="s">
        <v>9</v>
      </c>
      <c r="D94" s="45">
        <v>4</v>
      </c>
      <c r="E94" s="32"/>
      <c r="F94" s="33"/>
      <c r="G94" s="50" t="s">
        <v>1124</v>
      </c>
      <c r="H94" s="51" t="s">
        <v>1215</v>
      </c>
    </row>
    <row r="95" spans="1:8" s="47" customFormat="1" ht="22.5" customHeight="1">
      <c r="A95" s="48">
        <v>2330</v>
      </c>
      <c r="B95" s="49" t="s">
        <v>1236</v>
      </c>
      <c r="C95" s="13" t="s">
        <v>9</v>
      </c>
      <c r="D95" s="48">
        <v>4</v>
      </c>
      <c r="E95" s="17" t="s">
        <v>10</v>
      </c>
      <c r="F95" s="33"/>
      <c r="G95" s="50"/>
      <c r="H95" s="51"/>
    </row>
    <row r="96" spans="1:8" s="47" customFormat="1" ht="22.5" customHeight="1">
      <c r="A96" s="46">
        <v>2339</v>
      </c>
      <c r="B96" s="31" t="s">
        <v>1237</v>
      </c>
      <c r="C96" s="13" t="s">
        <v>9</v>
      </c>
      <c r="D96" s="45">
        <v>4</v>
      </c>
      <c r="E96" s="32"/>
      <c r="F96" s="33"/>
      <c r="G96" s="50" t="s">
        <v>1124</v>
      </c>
      <c r="H96" s="51" t="s">
        <v>1215</v>
      </c>
    </row>
    <row r="97" spans="1:8" s="47" customFormat="1" ht="22.5" customHeight="1">
      <c r="A97" s="48">
        <v>2400</v>
      </c>
      <c r="B97" s="49" t="s">
        <v>1238</v>
      </c>
      <c r="C97" s="35" t="s">
        <v>9</v>
      </c>
      <c r="D97" s="48">
        <v>4</v>
      </c>
      <c r="E97" s="355" t="s">
        <v>10</v>
      </c>
      <c r="F97" s="33"/>
      <c r="G97" s="50"/>
      <c r="H97" s="51"/>
    </row>
    <row r="98" spans="1:8" s="47" customFormat="1" ht="22.5" customHeight="1">
      <c r="A98" s="356">
        <v>2409</v>
      </c>
      <c r="B98" s="357" t="s">
        <v>1239</v>
      </c>
      <c r="C98" s="35" t="s">
        <v>9</v>
      </c>
      <c r="D98" s="45">
        <v>4</v>
      </c>
      <c r="E98" s="358"/>
      <c r="F98" s="33"/>
      <c r="G98" s="50" t="s">
        <v>1124</v>
      </c>
      <c r="H98" s="51" t="s">
        <v>1215</v>
      </c>
    </row>
    <row r="99" spans="1:8" s="47" customFormat="1" ht="23.25" customHeight="1">
      <c r="A99" s="335">
        <v>2500</v>
      </c>
      <c r="B99" s="336" t="s">
        <v>1240</v>
      </c>
      <c r="C99" s="337" t="s">
        <v>9</v>
      </c>
      <c r="D99" s="335">
        <v>4</v>
      </c>
      <c r="E99" s="338" t="s">
        <v>10</v>
      </c>
      <c r="F99" s="339" t="s">
        <v>1241</v>
      </c>
      <c r="G99" s="340"/>
      <c r="H99" s="51"/>
    </row>
    <row r="100" spans="1:107" s="29" customFormat="1" ht="15">
      <c r="A100" s="341">
        <v>2501</v>
      </c>
      <c r="B100" s="342" t="s">
        <v>1242</v>
      </c>
      <c r="C100" s="343" t="s">
        <v>9</v>
      </c>
      <c r="D100" s="341">
        <v>5</v>
      </c>
      <c r="E100" s="344"/>
      <c r="F100" s="345"/>
      <c r="G100" s="346"/>
      <c r="H100" s="26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</row>
    <row r="101" spans="1:107" s="29" customFormat="1" ht="15">
      <c r="A101" s="341">
        <v>2502</v>
      </c>
      <c r="B101" s="342" t="s">
        <v>1243</v>
      </c>
      <c r="C101" s="343" t="s">
        <v>9</v>
      </c>
      <c r="D101" s="341">
        <v>5</v>
      </c>
      <c r="E101" s="344"/>
      <c r="F101" s="345"/>
      <c r="G101" s="346"/>
      <c r="H101" s="26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</row>
    <row r="102" spans="1:107" s="29" customFormat="1" ht="15">
      <c r="A102" s="341">
        <v>2503</v>
      </c>
      <c r="B102" s="342" t="s">
        <v>1244</v>
      </c>
      <c r="C102" s="343" t="s">
        <v>9</v>
      </c>
      <c r="D102" s="341">
        <v>5</v>
      </c>
      <c r="E102" s="344"/>
      <c r="F102" s="345"/>
      <c r="G102" s="346"/>
      <c r="H102" s="26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</row>
    <row r="103" spans="1:107" s="29" customFormat="1" ht="15">
      <c r="A103" s="341">
        <v>2504</v>
      </c>
      <c r="B103" s="342" t="s">
        <v>1245</v>
      </c>
      <c r="C103" s="343" t="s">
        <v>9</v>
      </c>
      <c r="D103" s="341">
        <v>5</v>
      </c>
      <c r="E103" s="344"/>
      <c r="F103" s="345"/>
      <c r="G103" s="346"/>
      <c r="H103" s="26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</row>
    <row r="104" spans="1:107" s="29" customFormat="1" ht="15">
      <c r="A104" s="341">
        <v>2505</v>
      </c>
      <c r="B104" s="342" t="s">
        <v>1246</v>
      </c>
      <c r="C104" s="343" t="s">
        <v>9</v>
      </c>
      <c r="D104" s="341">
        <v>5</v>
      </c>
      <c r="E104" s="344"/>
      <c r="F104" s="345"/>
      <c r="G104" s="346"/>
      <c r="H104" s="26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</row>
    <row r="105" spans="1:107" s="29" customFormat="1" ht="15">
      <c r="A105" s="341">
        <v>2507</v>
      </c>
      <c r="B105" s="342" t="s">
        <v>1247</v>
      </c>
      <c r="C105" s="343" t="s">
        <v>9</v>
      </c>
      <c r="D105" s="341">
        <v>5</v>
      </c>
      <c r="E105" s="344"/>
      <c r="F105" s="345"/>
      <c r="G105" s="346"/>
      <c r="H105" s="26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</row>
    <row r="106" spans="1:107" s="29" customFormat="1" ht="15">
      <c r="A106" s="341">
        <v>2511</v>
      </c>
      <c r="B106" s="342" t="s">
        <v>1248</v>
      </c>
      <c r="C106" s="343" t="s">
        <v>9</v>
      </c>
      <c r="D106" s="341">
        <v>5</v>
      </c>
      <c r="E106" s="344"/>
      <c r="F106" s="345"/>
      <c r="G106" s="346"/>
      <c r="H106" s="26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</row>
    <row r="107" spans="1:107" s="29" customFormat="1" ht="15">
      <c r="A107" s="341">
        <v>2512</v>
      </c>
      <c r="B107" s="342" t="s">
        <v>1249</v>
      </c>
      <c r="C107" s="343" t="s">
        <v>9</v>
      </c>
      <c r="D107" s="341">
        <v>5</v>
      </c>
      <c r="E107" s="344"/>
      <c r="F107" s="345"/>
      <c r="G107" s="346"/>
      <c r="H107" s="26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</row>
    <row r="108" spans="1:107" s="29" customFormat="1" ht="15">
      <c r="A108" s="341">
        <v>2513</v>
      </c>
      <c r="B108" s="342" t="s">
        <v>1250</v>
      </c>
      <c r="C108" s="343" t="s">
        <v>9</v>
      </c>
      <c r="D108" s="341">
        <v>5</v>
      </c>
      <c r="E108" s="344"/>
      <c r="F108" s="345"/>
      <c r="G108" s="346"/>
      <c r="H108" s="26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</row>
    <row r="109" spans="1:107" s="29" customFormat="1" ht="15">
      <c r="A109" s="341">
        <v>2514</v>
      </c>
      <c r="B109" s="342" t="s">
        <v>1251</v>
      </c>
      <c r="C109" s="343" t="s">
        <v>9</v>
      </c>
      <c r="D109" s="341">
        <v>5</v>
      </c>
      <c r="E109" s="344"/>
      <c r="F109" s="345"/>
      <c r="G109" s="346"/>
      <c r="H109" s="26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</row>
    <row r="110" spans="1:107" s="44" customFormat="1" ht="15">
      <c r="A110" s="347">
        <v>2518</v>
      </c>
      <c r="B110" s="348" t="s">
        <v>1252</v>
      </c>
      <c r="C110" s="343" t="s">
        <v>9</v>
      </c>
      <c r="D110" s="347">
        <v>5</v>
      </c>
      <c r="E110" s="349"/>
      <c r="F110" s="345"/>
      <c r="G110" s="350"/>
      <c r="H110" s="26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</row>
    <row r="111" spans="1:8" s="47" customFormat="1" ht="19.5" customHeight="1">
      <c r="A111" s="351">
        <v>2519</v>
      </c>
      <c r="B111" s="352" t="s">
        <v>1253</v>
      </c>
      <c r="C111" s="337" t="s">
        <v>9</v>
      </c>
      <c r="D111" s="351">
        <v>4</v>
      </c>
      <c r="E111" s="353"/>
      <c r="F111" s="354"/>
      <c r="G111" s="340" t="s">
        <v>1124</v>
      </c>
      <c r="H111" s="51"/>
    </row>
    <row r="112" spans="1:8" s="47" customFormat="1" ht="23.25" customHeight="1">
      <c r="A112" s="48">
        <v>2520</v>
      </c>
      <c r="B112" s="49" t="s">
        <v>1254</v>
      </c>
      <c r="C112" s="360" t="s">
        <v>36</v>
      </c>
      <c r="D112" s="48">
        <v>4</v>
      </c>
      <c r="E112" s="17" t="s">
        <v>10</v>
      </c>
      <c r="F112" s="38" t="s">
        <v>1196</v>
      </c>
      <c r="G112" s="50"/>
      <c r="H112" s="51"/>
    </row>
    <row r="113" spans="1:107" s="29" customFormat="1" ht="15">
      <c r="A113" s="21">
        <v>2521</v>
      </c>
      <c r="B113" s="22" t="s">
        <v>1255</v>
      </c>
      <c r="C113" s="359" t="s">
        <v>36</v>
      </c>
      <c r="D113" s="21">
        <v>5</v>
      </c>
      <c r="E113" s="23"/>
      <c r="F113" s="24"/>
      <c r="G113" s="25"/>
      <c r="H113" s="26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</row>
    <row r="114" spans="1:107" s="29" customFormat="1" ht="15">
      <c r="A114" s="21">
        <v>2522</v>
      </c>
      <c r="B114" s="22" t="s">
        <v>1256</v>
      </c>
      <c r="C114" s="359" t="s">
        <v>36</v>
      </c>
      <c r="D114" s="21">
        <v>5</v>
      </c>
      <c r="E114" s="23"/>
      <c r="F114" s="24"/>
      <c r="G114" s="25"/>
      <c r="H114" s="26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</row>
    <row r="115" spans="1:8" s="47" customFormat="1" ht="19.5" customHeight="1">
      <c r="A115" s="21">
        <v>2524</v>
      </c>
      <c r="B115" s="22" t="s">
        <v>1257</v>
      </c>
      <c r="C115" s="359" t="s">
        <v>36</v>
      </c>
      <c r="D115" s="21">
        <v>5</v>
      </c>
      <c r="E115" s="58"/>
      <c r="F115" s="33"/>
      <c r="G115" s="50"/>
      <c r="H115" s="51"/>
    </row>
    <row r="116" spans="1:8" s="47" customFormat="1" ht="19.5" customHeight="1">
      <c r="A116" s="30">
        <v>2529</v>
      </c>
      <c r="B116" s="57" t="s">
        <v>1258</v>
      </c>
      <c r="C116" s="360" t="s">
        <v>36</v>
      </c>
      <c r="D116" s="30">
        <v>4</v>
      </c>
      <c r="E116" s="58"/>
      <c r="F116" s="33"/>
      <c r="G116" s="50"/>
      <c r="H116" s="51"/>
    </row>
    <row r="117" spans="1:8" s="39" customFormat="1" ht="19.5" customHeight="1">
      <c r="A117" s="15">
        <v>2550</v>
      </c>
      <c r="B117" s="16" t="s">
        <v>1259</v>
      </c>
      <c r="C117" s="13" t="s">
        <v>9</v>
      </c>
      <c r="D117" s="14">
        <v>4</v>
      </c>
      <c r="E117" s="17" t="s">
        <v>10</v>
      </c>
      <c r="G117" s="16"/>
      <c r="H117" s="19"/>
    </row>
    <row r="118" spans="1:107" s="29" customFormat="1" ht="17.25" customHeight="1">
      <c r="A118" s="21">
        <v>2551</v>
      </c>
      <c r="B118" s="22" t="s">
        <v>1261</v>
      </c>
      <c r="C118" s="20" t="s">
        <v>9</v>
      </c>
      <c r="D118" s="21">
        <v>5</v>
      </c>
      <c r="E118" s="23"/>
      <c r="F118" s="24" t="s">
        <v>1262</v>
      </c>
      <c r="G118" s="25"/>
      <c r="H118" s="26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</row>
    <row r="119" spans="1:107" s="29" customFormat="1" ht="17.25" customHeight="1">
      <c r="A119" s="21">
        <v>2552</v>
      </c>
      <c r="B119" s="22" t="s">
        <v>1263</v>
      </c>
      <c r="C119" s="20" t="s">
        <v>9</v>
      </c>
      <c r="D119" s="21">
        <v>5</v>
      </c>
      <c r="E119" s="23"/>
      <c r="F119" s="24" t="s">
        <v>1264</v>
      </c>
      <c r="G119" s="25"/>
      <c r="H119" s="26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</row>
    <row r="120" spans="1:107" s="29" customFormat="1" ht="17.25" customHeight="1">
      <c r="A120" s="21">
        <v>2553</v>
      </c>
      <c r="B120" s="22" t="s">
        <v>1265</v>
      </c>
      <c r="C120" s="20" t="s">
        <v>9</v>
      </c>
      <c r="D120" s="21">
        <v>5</v>
      </c>
      <c r="E120" s="23"/>
      <c r="F120" s="24" t="s">
        <v>1264</v>
      </c>
      <c r="G120" s="25"/>
      <c r="H120" s="26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</row>
    <row r="121" spans="1:107" s="44" customFormat="1" ht="15.75">
      <c r="A121" s="40">
        <v>2558</v>
      </c>
      <c r="B121" s="22" t="s">
        <v>1516</v>
      </c>
      <c r="C121" s="20" t="s">
        <v>9</v>
      </c>
      <c r="D121" s="40">
        <v>5</v>
      </c>
      <c r="E121" s="42"/>
      <c r="F121" s="38" t="s">
        <v>1260</v>
      </c>
      <c r="G121" s="43"/>
      <c r="H121" s="26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</row>
    <row r="122" spans="1:8" s="47" customFormat="1" ht="21.75" customHeight="1">
      <c r="A122" s="30">
        <v>2559</v>
      </c>
      <c r="B122" s="57" t="s">
        <v>1266</v>
      </c>
      <c r="C122" s="13" t="s">
        <v>9</v>
      </c>
      <c r="D122" s="30">
        <v>4</v>
      </c>
      <c r="E122" s="58"/>
      <c r="F122" s="33"/>
      <c r="G122" s="50" t="s">
        <v>1124</v>
      </c>
      <c r="H122" s="51"/>
    </row>
    <row r="123" spans="1:8" s="39" customFormat="1" ht="21.75" customHeight="1">
      <c r="A123" s="15">
        <v>2590</v>
      </c>
      <c r="B123" s="16" t="s">
        <v>1267</v>
      </c>
      <c r="C123" s="13" t="s">
        <v>9</v>
      </c>
      <c r="D123" s="14">
        <v>4</v>
      </c>
      <c r="E123" s="17" t="s">
        <v>10</v>
      </c>
      <c r="F123" s="38"/>
      <c r="G123" s="16"/>
      <c r="H123" s="19"/>
    </row>
    <row r="124" spans="1:8" s="47" customFormat="1" ht="21.75" customHeight="1">
      <c r="A124" s="46">
        <v>2599</v>
      </c>
      <c r="B124" s="31" t="s">
        <v>1268</v>
      </c>
      <c r="C124" s="13" t="s">
        <v>9</v>
      </c>
      <c r="D124" s="45">
        <v>4</v>
      </c>
      <c r="E124" s="32"/>
      <c r="G124" s="50" t="s">
        <v>1124</v>
      </c>
      <c r="H124" s="51"/>
    </row>
    <row r="125" spans="1:8" s="2" customFormat="1" ht="18" customHeight="1">
      <c r="A125" s="15">
        <v>2710</v>
      </c>
      <c r="B125" s="16" t="s">
        <v>1269</v>
      </c>
      <c r="C125" s="60" t="s">
        <v>35</v>
      </c>
      <c r="D125" s="14">
        <v>4</v>
      </c>
      <c r="E125" s="17" t="s">
        <v>10</v>
      </c>
      <c r="F125" s="38" t="s">
        <v>1270</v>
      </c>
      <c r="G125" s="18"/>
      <c r="H125" s="19"/>
    </row>
    <row r="126" spans="1:8" s="2" customFormat="1" ht="19.5" customHeight="1">
      <c r="A126" s="46">
        <v>2719</v>
      </c>
      <c r="B126" s="57" t="s">
        <v>1271</v>
      </c>
      <c r="C126" s="60" t="s">
        <v>35</v>
      </c>
      <c r="D126" s="45">
        <v>4</v>
      </c>
      <c r="E126" s="58"/>
      <c r="F126" s="18"/>
      <c r="G126" s="18" t="s">
        <v>1124</v>
      </c>
      <c r="H126" s="19"/>
    </row>
    <row r="127" spans="1:8" s="2" customFormat="1" ht="19.5" customHeight="1">
      <c r="A127" s="15">
        <v>2720</v>
      </c>
      <c r="B127" s="16" t="s">
        <v>1272</v>
      </c>
      <c r="C127" s="60" t="s">
        <v>35</v>
      </c>
      <c r="D127" s="14">
        <v>4</v>
      </c>
      <c r="E127" s="17" t="s">
        <v>10</v>
      </c>
      <c r="F127" s="38" t="s">
        <v>1270</v>
      </c>
      <c r="G127" s="18"/>
      <c r="H127" s="19"/>
    </row>
    <row r="128" spans="1:8" s="2" customFormat="1" ht="19.5" customHeight="1">
      <c r="A128" s="46">
        <v>2729</v>
      </c>
      <c r="B128" s="57" t="s">
        <v>1273</v>
      </c>
      <c r="C128" s="60" t="s">
        <v>35</v>
      </c>
      <c r="D128" s="45">
        <v>4</v>
      </c>
      <c r="E128" s="58"/>
      <c r="F128" s="18"/>
      <c r="G128" s="18" t="s">
        <v>1124</v>
      </c>
      <c r="H128" s="19"/>
    </row>
    <row r="129" spans="1:8" s="2" customFormat="1" ht="19.5" customHeight="1">
      <c r="A129" s="15">
        <v>2730</v>
      </c>
      <c r="B129" s="16" t="s">
        <v>1274</v>
      </c>
      <c r="C129" s="60" t="s">
        <v>35</v>
      </c>
      <c r="D129" s="14">
        <v>4</v>
      </c>
      <c r="E129" s="17" t="s">
        <v>10</v>
      </c>
      <c r="F129" s="38" t="s">
        <v>1275</v>
      </c>
      <c r="G129" s="18"/>
      <c r="H129" s="19"/>
    </row>
    <row r="130" spans="1:107" s="29" customFormat="1" ht="17.25" customHeight="1">
      <c r="A130" s="21">
        <v>2731</v>
      </c>
      <c r="B130" s="22" t="s">
        <v>1276</v>
      </c>
      <c r="C130" s="20" t="s">
        <v>35</v>
      </c>
      <c r="D130" s="21">
        <v>5</v>
      </c>
      <c r="E130" s="23"/>
      <c r="F130" s="24" t="s">
        <v>1275</v>
      </c>
      <c r="G130" s="25"/>
      <c r="H130" s="26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</row>
    <row r="131" spans="1:107" s="29" customFormat="1" ht="17.25" customHeight="1">
      <c r="A131" s="21">
        <v>2732</v>
      </c>
      <c r="B131" s="22" t="s">
        <v>1277</v>
      </c>
      <c r="C131" s="20" t="s">
        <v>35</v>
      </c>
      <c r="D131" s="21">
        <v>5</v>
      </c>
      <c r="E131" s="23"/>
      <c r="F131" s="24" t="s">
        <v>1275</v>
      </c>
      <c r="G131" s="25"/>
      <c r="H131" s="26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</row>
    <row r="132" spans="1:8" s="2" customFormat="1" ht="19.5" customHeight="1">
      <c r="A132" s="46">
        <v>2739</v>
      </c>
      <c r="B132" s="57" t="s">
        <v>1278</v>
      </c>
      <c r="C132" s="60" t="s">
        <v>35</v>
      </c>
      <c r="D132" s="45">
        <v>4</v>
      </c>
      <c r="E132" s="58"/>
      <c r="F132" s="18"/>
      <c r="G132" s="18" t="s">
        <v>1124</v>
      </c>
      <c r="H132" s="19"/>
    </row>
    <row r="133" spans="1:8" s="2" customFormat="1" ht="19.5" customHeight="1">
      <c r="A133" s="15">
        <v>2790</v>
      </c>
      <c r="B133" s="16" t="s">
        <v>1279</v>
      </c>
      <c r="C133" s="60" t="s">
        <v>35</v>
      </c>
      <c r="D133" s="14">
        <v>4</v>
      </c>
      <c r="E133" s="17" t="s">
        <v>10</v>
      </c>
      <c r="F133" s="38" t="s">
        <v>1270</v>
      </c>
      <c r="G133" s="18"/>
      <c r="H133" s="19"/>
    </row>
    <row r="134" spans="1:8" s="2" customFormat="1" ht="19.5" customHeight="1">
      <c r="A134" s="46">
        <v>2799</v>
      </c>
      <c r="B134" s="57" t="s">
        <v>1280</v>
      </c>
      <c r="C134" s="60" t="s">
        <v>35</v>
      </c>
      <c r="D134" s="45">
        <v>4</v>
      </c>
      <c r="E134" s="58"/>
      <c r="F134" s="38" t="s">
        <v>1270</v>
      </c>
      <c r="G134" s="18" t="s">
        <v>1124</v>
      </c>
      <c r="H134" s="19"/>
    </row>
    <row r="135" spans="1:8" s="2" customFormat="1" ht="23.25" customHeight="1">
      <c r="A135" s="15">
        <v>2990</v>
      </c>
      <c r="B135" s="16" t="s">
        <v>1281</v>
      </c>
      <c r="C135" s="13" t="s">
        <v>9</v>
      </c>
      <c r="D135" s="14">
        <v>4</v>
      </c>
      <c r="E135" s="17" t="s">
        <v>10</v>
      </c>
      <c r="F135" s="38"/>
      <c r="G135" s="18"/>
      <c r="H135" s="19"/>
    </row>
    <row r="136" spans="1:107" s="29" customFormat="1" ht="16.5" customHeight="1">
      <c r="A136" s="21">
        <v>2991</v>
      </c>
      <c r="B136" s="22" t="s">
        <v>1522</v>
      </c>
      <c r="C136" s="20" t="s">
        <v>9</v>
      </c>
      <c r="D136" s="21">
        <v>5</v>
      </c>
      <c r="E136" s="23"/>
      <c r="F136" s="24"/>
      <c r="G136" s="25"/>
      <c r="H136" s="26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</row>
    <row r="137" spans="1:107" s="29" customFormat="1" ht="16.5" customHeight="1">
      <c r="A137" s="21">
        <v>2992</v>
      </c>
      <c r="B137" s="22" t="s">
        <v>1523</v>
      </c>
      <c r="C137" s="20" t="s">
        <v>9</v>
      </c>
      <c r="D137" s="21">
        <v>5</v>
      </c>
      <c r="E137" s="23"/>
      <c r="F137" s="24"/>
      <c r="G137" s="25"/>
      <c r="H137" s="26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</row>
    <row r="138" spans="1:8" s="143" customFormat="1" ht="23.25" customHeight="1" thickBot="1">
      <c r="A138" s="376">
        <v>2999</v>
      </c>
      <c r="B138" s="377" t="s">
        <v>1282</v>
      </c>
      <c r="C138" s="371" t="s">
        <v>9</v>
      </c>
      <c r="D138" s="378">
        <v>4</v>
      </c>
      <c r="E138" s="373"/>
      <c r="F138" s="379"/>
      <c r="G138" s="374" t="s">
        <v>1124</v>
      </c>
      <c r="H138" s="375"/>
    </row>
    <row r="139" spans="1:8" s="39" customFormat="1" ht="23.25" customHeight="1" thickTop="1">
      <c r="A139" s="363">
        <v>4200</v>
      </c>
      <c r="B139" s="364" t="s">
        <v>1283</v>
      </c>
      <c r="C139" s="365" t="s">
        <v>9</v>
      </c>
      <c r="D139" s="366">
        <v>4</v>
      </c>
      <c r="E139" s="367" t="s">
        <v>10</v>
      </c>
      <c r="F139" s="368" t="s">
        <v>1284</v>
      </c>
      <c r="G139" s="368"/>
      <c r="H139" s="19"/>
    </row>
    <row r="140" spans="1:107" s="29" customFormat="1" ht="18.75" customHeight="1">
      <c r="A140" s="21">
        <v>4201</v>
      </c>
      <c r="B140" s="22" t="s">
        <v>1285</v>
      </c>
      <c r="C140" s="20" t="s">
        <v>9</v>
      </c>
      <c r="D140" s="21">
        <v>5</v>
      </c>
      <c r="E140" s="23"/>
      <c r="F140" s="24" t="s">
        <v>1284</v>
      </c>
      <c r="G140" s="25"/>
      <c r="H140" s="26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</row>
    <row r="141" spans="1:107" s="29" customFormat="1" ht="18.75" customHeight="1">
      <c r="A141" s="21">
        <v>4202</v>
      </c>
      <c r="B141" s="22" t="s">
        <v>1286</v>
      </c>
      <c r="C141" s="20" t="s">
        <v>9</v>
      </c>
      <c r="D141" s="21">
        <v>5</v>
      </c>
      <c r="E141" s="23"/>
      <c r="F141" s="24" t="s">
        <v>1284</v>
      </c>
      <c r="G141" s="25"/>
      <c r="H141" s="26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</row>
    <row r="142" spans="1:107" s="29" customFormat="1" ht="18.75" customHeight="1">
      <c r="A142" s="21">
        <v>4206</v>
      </c>
      <c r="B142" s="22" t="s">
        <v>1287</v>
      </c>
      <c r="C142" s="20" t="s">
        <v>9</v>
      </c>
      <c r="D142" s="21">
        <v>5</v>
      </c>
      <c r="E142" s="23"/>
      <c r="F142" s="24" t="s">
        <v>1284</v>
      </c>
      <c r="G142" s="25"/>
      <c r="H142" s="26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</row>
    <row r="143" spans="1:107" s="29" customFormat="1" ht="18.75" customHeight="1">
      <c r="A143" s="21">
        <v>4207</v>
      </c>
      <c r="B143" s="22" t="s">
        <v>1288</v>
      </c>
      <c r="C143" s="20" t="s">
        <v>9</v>
      </c>
      <c r="D143" s="21">
        <v>5</v>
      </c>
      <c r="E143" s="23"/>
      <c r="F143" s="24" t="s">
        <v>1284</v>
      </c>
      <c r="G143" s="25"/>
      <c r="H143" s="26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</row>
    <row r="144" spans="1:107" s="29" customFormat="1" ht="18.75" customHeight="1">
      <c r="A144" s="40">
        <v>4208</v>
      </c>
      <c r="B144" s="41" t="s">
        <v>1289</v>
      </c>
      <c r="C144" s="20" t="s">
        <v>9</v>
      </c>
      <c r="D144" s="40">
        <v>5</v>
      </c>
      <c r="E144" s="42"/>
      <c r="F144" s="24" t="s">
        <v>1284</v>
      </c>
      <c r="G144" s="25"/>
      <c r="H144" s="26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</row>
    <row r="145" spans="1:8" s="2" customFormat="1" ht="23.25" customHeight="1">
      <c r="A145" s="46">
        <v>4209</v>
      </c>
      <c r="B145" s="57" t="s">
        <v>1290</v>
      </c>
      <c r="C145" s="13" t="s">
        <v>9</v>
      </c>
      <c r="D145" s="45">
        <v>4</v>
      </c>
      <c r="E145" s="58"/>
      <c r="F145" s="18"/>
      <c r="G145" s="18" t="s">
        <v>1124</v>
      </c>
      <c r="H145" s="19"/>
    </row>
    <row r="146" spans="1:8" s="2" customFormat="1" ht="20.25" customHeight="1">
      <c r="A146" s="36">
        <v>4970</v>
      </c>
      <c r="B146" s="37" t="s">
        <v>1291</v>
      </c>
      <c r="C146" s="13" t="s">
        <v>9</v>
      </c>
      <c r="D146" s="14">
        <v>4</v>
      </c>
      <c r="E146" s="59"/>
      <c r="F146" s="61"/>
      <c r="G146" s="18"/>
      <c r="H146" s="19"/>
    </row>
    <row r="147" spans="1:8" s="2" customFormat="1" ht="20.25" customHeight="1">
      <c r="A147" s="21">
        <v>4971</v>
      </c>
      <c r="B147" s="22" t="s">
        <v>1852</v>
      </c>
      <c r="C147" s="20" t="s">
        <v>9</v>
      </c>
      <c r="D147" s="21">
        <v>5</v>
      </c>
      <c r="E147" s="59"/>
      <c r="F147" s="24" t="s">
        <v>1854</v>
      </c>
      <c r="G147" s="18"/>
      <c r="H147" s="19"/>
    </row>
    <row r="148" spans="1:8" s="2" customFormat="1" ht="20.25" customHeight="1">
      <c r="A148" s="21">
        <v>4972</v>
      </c>
      <c r="B148" s="22" t="s">
        <v>1853</v>
      </c>
      <c r="C148" s="20" t="s">
        <v>9</v>
      </c>
      <c r="D148" s="21">
        <v>5</v>
      </c>
      <c r="E148" s="59"/>
      <c r="F148" s="24" t="s">
        <v>1855</v>
      </c>
      <c r="G148" s="18"/>
      <c r="H148" s="19"/>
    </row>
    <row r="149" spans="1:8" s="2" customFormat="1" ht="20.25" customHeight="1">
      <c r="A149" s="62">
        <v>4979</v>
      </c>
      <c r="B149" s="63" t="s">
        <v>1292</v>
      </c>
      <c r="C149" s="13" t="s">
        <v>9</v>
      </c>
      <c r="D149" s="14">
        <v>4</v>
      </c>
      <c r="E149" s="59"/>
      <c r="F149" s="61"/>
      <c r="G149" s="18"/>
      <c r="H149" s="19"/>
    </row>
    <row r="150" spans="1:8" s="2" customFormat="1" ht="23.25" customHeight="1">
      <c r="A150" s="106">
        <v>498</v>
      </c>
      <c r="B150" s="61" t="s">
        <v>1590</v>
      </c>
      <c r="C150" s="13" t="s">
        <v>1849</v>
      </c>
      <c r="D150" s="107">
        <v>3</v>
      </c>
      <c r="E150" s="58"/>
      <c r="F150" s="61" t="s">
        <v>1527</v>
      </c>
      <c r="G150" s="18"/>
      <c r="H150" s="19"/>
    </row>
    <row r="151" spans="1:8" s="2" customFormat="1" ht="29.25" customHeight="1">
      <c r="A151" s="387">
        <v>495</v>
      </c>
      <c r="B151" s="388" t="s">
        <v>1850</v>
      </c>
      <c r="C151" s="13" t="s">
        <v>1849</v>
      </c>
      <c r="D151" s="107">
        <v>3</v>
      </c>
      <c r="E151" s="58"/>
      <c r="F151" s="61" t="s">
        <v>1527</v>
      </c>
      <c r="G151" s="18"/>
      <c r="H151" s="19"/>
    </row>
    <row r="152" spans="1:8" s="143" customFormat="1" ht="25.5" customHeight="1" thickBot="1">
      <c r="A152" s="369">
        <v>499</v>
      </c>
      <c r="B152" s="370" t="s">
        <v>1051</v>
      </c>
      <c r="C152" s="371">
        <v>20</v>
      </c>
      <c r="D152" s="372">
        <v>3</v>
      </c>
      <c r="E152" s="373"/>
      <c r="F152" s="370" t="s">
        <v>1527</v>
      </c>
      <c r="G152" s="374"/>
      <c r="H152" s="375"/>
    </row>
    <row r="153" spans="1:8" s="39" customFormat="1" ht="18.75" customHeight="1" thickTop="1">
      <c r="A153" s="363">
        <v>5100</v>
      </c>
      <c r="B153" s="364" t="s">
        <v>1293</v>
      </c>
      <c r="C153" s="365" t="s">
        <v>9</v>
      </c>
      <c r="D153" s="366">
        <v>4</v>
      </c>
      <c r="E153" s="367" t="s">
        <v>10</v>
      </c>
      <c r="F153" s="368" t="s">
        <v>1294</v>
      </c>
      <c r="G153" s="368"/>
      <c r="H153" s="19"/>
    </row>
    <row r="154" spans="1:8" s="2" customFormat="1" ht="18" customHeight="1">
      <c r="A154" s="30">
        <v>5109</v>
      </c>
      <c r="B154" s="57" t="s">
        <v>1295</v>
      </c>
      <c r="C154" s="13" t="s">
        <v>9</v>
      </c>
      <c r="D154" s="48">
        <v>4</v>
      </c>
      <c r="E154" s="58"/>
      <c r="F154" s="59"/>
      <c r="G154" s="18" t="s">
        <v>1124</v>
      </c>
      <c r="H154" s="19"/>
    </row>
    <row r="155" spans="1:8" s="2" customFormat="1" ht="17.25" customHeight="1">
      <c r="A155" s="48">
        <v>5300</v>
      </c>
      <c r="B155" s="49" t="s">
        <v>1524</v>
      </c>
      <c r="C155" s="13" t="s">
        <v>9</v>
      </c>
      <c r="D155" s="48">
        <v>4</v>
      </c>
      <c r="E155" s="17" t="s">
        <v>10</v>
      </c>
      <c r="F155" s="38" t="s">
        <v>1315</v>
      </c>
      <c r="G155" s="18"/>
      <c r="H155" s="19"/>
    </row>
    <row r="156" spans="1:8" s="2" customFormat="1" ht="17.25" customHeight="1">
      <c r="A156" s="30">
        <v>5309</v>
      </c>
      <c r="B156" s="57" t="s">
        <v>1296</v>
      </c>
      <c r="C156" s="13" t="s">
        <v>9</v>
      </c>
      <c r="D156" s="48">
        <v>4</v>
      </c>
      <c r="E156" s="58"/>
      <c r="F156" s="59"/>
      <c r="G156" s="18" t="s">
        <v>1124</v>
      </c>
      <c r="H156" s="19"/>
    </row>
    <row r="157" spans="1:8" s="2" customFormat="1" ht="18" customHeight="1">
      <c r="A157" s="48">
        <v>5400</v>
      </c>
      <c r="B157" s="49" t="s">
        <v>1297</v>
      </c>
      <c r="C157" s="13" t="s">
        <v>9</v>
      </c>
      <c r="D157" s="48">
        <v>4</v>
      </c>
      <c r="E157" s="17" t="s">
        <v>10</v>
      </c>
      <c r="F157" s="38" t="s">
        <v>1315</v>
      </c>
      <c r="G157" s="18"/>
      <c r="H157" s="19"/>
    </row>
    <row r="158" spans="1:8" s="2" customFormat="1" ht="18" customHeight="1">
      <c r="A158" s="48">
        <v>5401</v>
      </c>
      <c r="B158" s="49" t="s">
        <v>1299</v>
      </c>
      <c r="C158" s="13" t="s">
        <v>1298</v>
      </c>
      <c r="D158" s="48">
        <v>4</v>
      </c>
      <c r="E158" s="17" t="s">
        <v>10</v>
      </c>
      <c r="F158" s="38" t="s">
        <v>1315</v>
      </c>
      <c r="G158" s="18"/>
      <c r="H158" s="19"/>
    </row>
    <row r="159" spans="1:8" s="2" customFormat="1" ht="18" customHeight="1">
      <c r="A159" s="48">
        <v>5402</v>
      </c>
      <c r="B159" s="49" t="s">
        <v>1301</v>
      </c>
      <c r="C159" s="13" t="s">
        <v>1300</v>
      </c>
      <c r="D159" s="48">
        <v>4</v>
      </c>
      <c r="E159" s="17" t="s">
        <v>10</v>
      </c>
      <c r="F159" s="38" t="s">
        <v>1315</v>
      </c>
      <c r="G159" s="18"/>
      <c r="H159" s="19"/>
    </row>
    <row r="160" spans="1:8" s="2" customFormat="1" ht="18" customHeight="1">
      <c r="A160" s="48">
        <v>5403</v>
      </c>
      <c r="B160" s="49" t="s">
        <v>1302</v>
      </c>
      <c r="C160" s="13" t="s">
        <v>9</v>
      </c>
      <c r="D160" s="48">
        <v>4</v>
      </c>
      <c r="E160" s="17" t="s">
        <v>10</v>
      </c>
      <c r="F160" s="38" t="s">
        <v>1315</v>
      </c>
      <c r="G160" s="18"/>
      <c r="H160" s="19"/>
    </row>
    <row r="161" spans="1:8" s="2" customFormat="1" ht="18" customHeight="1">
      <c r="A161" s="30">
        <v>5409</v>
      </c>
      <c r="B161" s="57" t="s">
        <v>1303</v>
      </c>
      <c r="C161" s="13" t="s">
        <v>9</v>
      </c>
      <c r="D161" s="48">
        <v>4</v>
      </c>
      <c r="E161" s="58"/>
      <c r="F161" s="59"/>
      <c r="G161" s="18" t="s">
        <v>1124</v>
      </c>
      <c r="H161" s="19"/>
    </row>
    <row r="162" spans="1:8" s="2" customFormat="1" ht="18.75" customHeight="1">
      <c r="A162" s="48">
        <v>5910</v>
      </c>
      <c r="B162" s="49" t="s">
        <v>1304</v>
      </c>
      <c r="C162" s="13" t="s">
        <v>9</v>
      </c>
      <c r="D162" s="48">
        <v>4</v>
      </c>
      <c r="E162" s="17" t="s">
        <v>10</v>
      </c>
      <c r="F162" s="38" t="s">
        <v>1305</v>
      </c>
      <c r="G162" s="18"/>
      <c r="H162" s="19"/>
    </row>
    <row r="163" spans="1:107" s="29" customFormat="1" ht="15">
      <c r="A163" s="21">
        <v>5911</v>
      </c>
      <c r="B163" s="22" t="s">
        <v>1306</v>
      </c>
      <c r="C163" s="20" t="s">
        <v>9</v>
      </c>
      <c r="D163" s="21">
        <v>5</v>
      </c>
      <c r="E163" s="23"/>
      <c r="F163" s="24" t="s">
        <v>1305</v>
      </c>
      <c r="G163" s="25"/>
      <c r="H163" s="26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</row>
    <row r="164" spans="1:107" s="29" customFormat="1" ht="15">
      <c r="A164" s="21">
        <v>5912</v>
      </c>
      <c r="B164" s="22" t="s">
        <v>1307</v>
      </c>
      <c r="C164" s="20" t="s">
        <v>9</v>
      </c>
      <c r="D164" s="21">
        <v>5</v>
      </c>
      <c r="E164" s="23"/>
      <c r="F164" s="24" t="s">
        <v>1305</v>
      </c>
      <c r="G164" s="25"/>
      <c r="H164" s="26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</row>
    <row r="165" spans="1:107" s="29" customFormat="1" ht="15">
      <c r="A165" s="21">
        <v>5917</v>
      </c>
      <c r="B165" s="22" t="s">
        <v>1308</v>
      </c>
      <c r="C165" s="20" t="s">
        <v>9</v>
      </c>
      <c r="D165" s="21">
        <v>5</v>
      </c>
      <c r="E165" s="23"/>
      <c r="F165" s="24" t="s">
        <v>1305</v>
      </c>
      <c r="G165" s="25"/>
      <c r="H165" s="26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</row>
    <row r="166" spans="1:8" s="2" customFormat="1" ht="16.5" customHeight="1">
      <c r="A166" s="46">
        <v>5919</v>
      </c>
      <c r="B166" s="57" t="s">
        <v>1309</v>
      </c>
      <c r="C166" s="13" t="s">
        <v>9</v>
      </c>
      <c r="D166" s="45">
        <v>4</v>
      </c>
      <c r="E166" s="58"/>
      <c r="F166" s="55"/>
      <c r="G166" s="18" t="s">
        <v>1124</v>
      </c>
      <c r="H166" s="19"/>
    </row>
    <row r="167" spans="1:8" s="2" customFormat="1" ht="18.75" customHeight="1">
      <c r="A167" s="48">
        <v>5920</v>
      </c>
      <c r="B167" s="49" t="s">
        <v>1310</v>
      </c>
      <c r="C167" s="13" t="s">
        <v>9</v>
      </c>
      <c r="D167" s="48">
        <v>4</v>
      </c>
      <c r="E167" s="17" t="s">
        <v>10</v>
      </c>
      <c r="F167" s="38" t="s">
        <v>1311</v>
      </c>
      <c r="G167" s="18"/>
      <c r="H167" s="19"/>
    </row>
    <row r="168" spans="1:8" s="2" customFormat="1" ht="18" customHeight="1">
      <c r="A168" s="48">
        <v>5930</v>
      </c>
      <c r="B168" s="49" t="s">
        <v>1312</v>
      </c>
      <c r="C168" s="13" t="s">
        <v>9</v>
      </c>
      <c r="D168" s="48">
        <v>4</v>
      </c>
      <c r="E168" s="17" t="s">
        <v>10</v>
      </c>
      <c r="F168" s="38" t="s">
        <v>1313</v>
      </c>
      <c r="G168" s="18"/>
      <c r="H168" s="19"/>
    </row>
    <row r="169" spans="1:8" s="2" customFormat="1" ht="20.25" customHeight="1">
      <c r="A169" s="15">
        <v>5990</v>
      </c>
      <c r="B169" s="16" t="s">
        <v>1314</v>
      </c>
      <c r="C169" s="13" t="s">
        <v>9</v>
      </c>
      <c r="D169" s="14">
        <v>4</v>
      </c>
      <c r="E169" s="17" t="s">
        <v>10</v>
      </c>
      <c r="F169" s="38" t="s">
        <v>1315</v>
      </c>
      <c r="G169" s="18"/>
      <c r="H169" s="19"/>
    </row>
    <row r="170" spans="1:107" s="29" customFormat="1" ht="15">
      <c r="A170" s="21">
        <v>5991</v>
      </c>
      <c r="B170" s="22" t="s">
        <v>1316</v>
      </c>
      <c r="C170" s="20" t="s">
        <v>9</v>
      </c>
      <c r="D170" s="21">
        <v>5</v>
      </c>
      <c r="E170" s="23"/>
      <c r="F170" s="24" t="s">
        <v>1315</v>
      </c>
      <c r="G170" s="25"/>
      <c r="H170" s="26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</row>
    <row r="171" spans="1:107" s="29" customFormat="1" ht="17.25" customHeight="1">
      <c r="A171" s="21">
        <v>5992</v>
      </c>
      <c r="B171" s="22" t="s">
        <v>1317</v>
      </c>
      <c r="C171" s="20" t="s">
        <v>9</v>
      </c>
      <c r="D171" s="21">
        <v>5</v>
      </c>
      <c r="E171" s="23"/>
      <c r="F171" s="24" t="s">
        <v>1315</v>
      </c>
      <c r="G171" s="25"/>
      <c r="H171" s="26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</row>
    <row r="172" spans="1:8" s="143" customFormat="1" ht="17.25" customHeight="1" thickBot="1">
      <c r="A172" s="376">
        <v>5999</v>
      </c>
      <c r="B172" s="377" t="s">
        <v>1318</v>
      </c>
      <c r="C172" s="371" t="s">
        <v>9</v>
      </c>
      <c r="D172" s="378">
        <v>4</v>
      </c>
      <c r="E172" s="373"/>
      <c r="F172" s="379"/>
      <c r="G172" s="374" t="s">
        <v>1124</v>
      </c>
      <c r="H172" s="375"/>
    </row>
    <row r="173" spans="1:8" s="2" customFormat="1" ht="20.25" customHeight="1" thickTop="1">
      <c r="A173" s="389">
        <v>6110</v>
      </c>
      <c r="B173" s="364" t="s">
        <v>2035</v>
      </c>
      <c r="C173" s="390" t="s">
        <v>36</v>
      </c>
      <c r="D173" s="366">
        <v>4</v>
      </c>
      <c r="E173" s="367" t="s">
        <v>10</v>
      </c>
      <c r="F173" s="391"/>
      <c r="G173" s="391"/>
      <c r="H173" s="19"/>
    </row>
    <row r="174" spans="1:8" s="2" customFormat="1" ht="20.25" customHeight="1">
      <c r="A174" s="15">
        <v>6120</v>
      </c>
      <c r="B174" s="16" t="s">
        <v>2039</v>
      </c>
      <c r="C174" s="54" t="s">
        <v>36</v>
      </c>
      <c r="D174" s="14">
        <v>4</v>
      </c>
      <c r="E174" s="17" t="s">
        <v>10</v>
      </c>
      <c r="F174" s="18"/>
      <c r="G174" s="18"/>
      <c r="H174" s="19"/>
    </row>
    <row r="175" spans="1:8" s="2" customFormat="1" ht="20.25" customHeight="1">
      <c r="A175" s="15">
        <v>6130</v>
      </c>
      <c r="B175" s="16" t="s">
        <v>2036</v>
      </c>
      <c r="C175" s="54" t="s">
        <v>36</v>
      </c>
      <c r="D175" s="14">
        <v>4</v>
      </c>
      <c r="E175" s="17" t="s">
        <v>10</v>
      </c>
      <c r="F175" s="18"/>
      <c r="G175" s="18"/>
      <c r="H175" s="19"/>
    </row>
    <row r="176" spans="1:8" s="2" customFormat="1" ht="20.25" customHeight="1">
      <c r="A176" s="15">
        <v>6410</v>
      </c>
      <c r="B176" s="16" t="s">
        <v>2040</v>
      </c>
      <c r="C176" s="54" t="s">
        <v>36</v>
      </c>
      <c r="D176" s="14">
        <v>4</v>
      </c>
      <c r="E176" s="17" t="s">
        <v>10</v>
      </c>
      <c r="F176" s="18"/>
      <c r="G176" s="18"/>
      <c r="H176" s="19"/>
    </row>
    <row r="177" spans="1:8" s="2" customFormat="1" ht="20.25" customHeight="1">
      <c r="A177" s="15">
        <v>6420</v>
      </c>
      <c r="B177" s="16" t="s">
        <v>2037</v>
      </c>
      <c r="C177" s="54" t="s">
        <v>36</v>
      </c>
      <c r="D177" s="14">
        <v>4</v>
      </c>
      <c r="E177" s="17" t="s">
        <v>10</v>
      </c>
      <c r="F177" s="18"/>
      <c r="G177" s="18"/>
      <c r="H177" s="19"/>
    </row>
    <row r="178" spans="1:8" s="2" customFormat="1" ht="20.25" customHeight="1">
      <c r="A178" s="15">
        <v>6510</v>
      </c>
      <c r="B178" s="16" t="s">
        <v>2038</v>
      </c>
      <c r="C178" s="54" t="s">
        <v>36</v>
      </c>
      <c r="D178" s="14">
        <v>4</v>
      </c>
      <c r="E178" s="17" t="s">
        <v>10</v>
      </c>
      <c r="F178" s="18"/>
      <c r="G178" s="18"/>
      <c r="H178" s="19"/>
    </row>
    <row r="179" spans="1:8" s="2" customFormat="1" ht="20.25" customHeight="1">
      <c r="A179" s="46">
        <v>6519</v>
      </c>
      <c r="B179" s="57" t="s">
        <v>1319</v>
      </c>
      <c r="C179" s="54" t="s">
        <v>36</v>
      </c>
      <c r="D179" s="14">
        <v>4</v>
      </c>
      <c r="E179" s="58"/>
      <c r="F179" s="55"/>
      <c r="G179" s="18" t="s">
        <v>1124</v>
      </c>
      <c r="H179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1"/>
  <sheetViews>
    <sheetView workbookViewId="0" topLeftCell="A1">
      <selection activeCell="D1" sqref="D1"/>
    </sheetView>
  </sheetViews>
  <sheetFormatPr defaultColWidth="9.140625" defaultRowHeight="12.75"/>
  <cols>
    <col min="1" max="2" width="9.421875" style="67" customWidth="1"/>
    <col min="3" max="3" width="13.00390625" style="68" customWidth="1"/>
    <col min="4" max="4" width="98.00390625" style="65" customWidth="1"/>
    <col min="5" max="5" width="19.57421875" style="65" bestFit="1" customWidth="1"/>
    <col min="6" max="6" width="7.00390625" style="65" bestFit="1" customWidth="1"/>
    <col min="7" max="7" width="5.421875" style="65" bestFit="1" customWidth="1"/>
    <col min="9" max="9" width="6.140625" style="65" customWidth="1"/>
    <col min="10" max="10" width="7.28125" style="66" customWidth="1"/>
    <col min="11" max="11" width="12.00390625" style="66" customWidth="1"/>
    <col min="12" max="12" width="6.421875" style="66" customWidth="1"/>
    <col min="13" max="13" width="8.8515625" style="66" customWidth="1"/>
    <col min="14" max="14" width="12.8515625" style="66" customWidth="1"/>
    <col min="15" max="15" width="7.00390625" style="66" customWidth="1"/>
    <col min="16" max="17" width="6.421875" style="66" customWidth="1"/>
    <col min="18" max="18" width="10.28125" style="66" customWidth="1"/>
    <col min="19" max="19" width="8.00390625" style="66" customWidth="1"/>
    <col min="20" max="22" width="6.421875" style="66" customWidth="1"/>
    <col min="23" max="46" width="6.421875" style="65" customWidth="1"/>
    <col min="47" max="16384" width="9.140625" style="65" customWidth="1"/>
  </cols>
  <sheetData>
    <row r="1" spans="1:22" s="116" customFormat="1" ht="26.25" customHeight="1">
      <c r="A1" s="724" t="s">
        <v>1349</v>
      </c>
      <c r="B1" s="724" t="s">
        <v>4</v>
      </c>
      <c r="C1" s="725" t="s">
        <v>1350</v>
      </c>
      <c r="D1" s="726" t="s">
        <v>2042</v>
      </c>
      <c r="E1" s="727" t="s">
        <v>1348</v>
      </c>
      <c r="F1" s="683" t="s">
        <v>1346</v>
      </c>
      <c r="G1" s="728" t="s">
        <v>1347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11" ht="12.75">
      <c r="A2" s="684">
        <v>1</v>
      </c>
      <c r="B2" s="684">
        <v>1</v>
      </c>
      <c r="C2" s="685">
        <v>100</v>
      </c>
      <c r="D2" s="686" t="s">
        <v>1353</v>
      </c>
      <c r="E2" s="687" t="s">
        <v>1354</v>
      </c>
      <c r="F2" s="688" t="s">
        <v>1351</v>
      </c>
      <c r="G2" s="689" t="s">
        <v>1352</v>
      </c>
      <c r="H2" s="65"/>
      <c r="J2" s="65"/>
      <c r="K2" s="65"/>
    </row>
    <row r="3" spans="1:11" ht="15" customHeight="1">
      <c r="A3" s="684">
        <v>1</v>
      </c>
      <c r="B3" s="684">
        <v>1</v>
      </c>
      <c r="C3" s="684">
        <v>101</v>
      </c>
      <c r="D3" s="686" t="s">
        <v>1356</v>
      </c>
      <c r="E3" s="690"/>
      <c r="F3" s="691"/>
      <c r="G3" s="692"/>
      <c r="H3" s="65"/>
      <c r="J3" s="65"/>
      <c r="K3" s="65"/>
    </row>
    <row r="4" spans="1:11" ht="30.75" customHeight="1">
      <c r="A4" s="684">
        <v>1</v>
      </c>
      <c r="B4" s="684">
        <v>1</v>
      </c>
      <c r="C4" s="684">
        <v>102</v>
      </c>
      <c r="D4" s="686" t="s">
        <v>1357</v>
      </c>
      <c r="E4" s="690"/>
      <c r="F4" s="691"/>
      <c r="G4" s="692"/>
      <c r="H4" s="65"/>
      <c r="J4" s="65"/>
      <c r="K4" s="65"/>
    </row>
    <row r="5" spans="1:23" s="66" customFormat="1" ht="12.75">
      <c r="A5" s="684">
        <v>1</v>
      </c>
      <c r="B5" s="684">
        <v>1</v>
      </c>
      <c r="C5" s="684">
        <v>103</v>
      </c>
      <c r="D5" s="686" t="s">
        <v>1358</v>
      </c>
      <c r="E5" s="687" t="s">
        <v>1359</v>
      </c>
      <c r="F5" s="688" t="s">
        <v>1351</v>
      </c>
      <c r="G5" s="689" t="s">
        <v>1352</v>
      </c>
      <c r="I5" s="65"/>
      <c r="J5" s="65"/>
      <c r="K5" s="65"/>
      <c r="W5" s="65"/>
    </row>
    <row r="6" spans="1:23" s="66" customFormat="1" ht="12.75">
      <c r="A6" s="693">
        <v>1</v>
      </c>
      <c r="B6" s="684">
        <v>1</v>
      </c>
      <c r="C6" s="684">
        <v>104</v>
      </c>
      <c r="D6" s="686" t="s">
        <v>1360</v>
      </c>
      <c r="E6" s="687" t="s">
        <v>1361</v>
      </c>
      <c r="F6" s="688" t="s">
        <v>1351</v>
      </c>
      <c r="G6" s="689" t="s">
        <v>1352</v>
      </c>
      <c r="I6" s="65"/>
      <c r="J6" s="65"/>
      <c r="K6" s="65"/>
      <c r="W6" s="65"/>
    </row>
    <row r="7" spans="1:23" s="66" customFormat="1" ht="15" customHeight="1">
      <c r="A7" s="694">
        <v>1</v>
      </c>
      <c r="B7" s="684">
        <v>1</v>
      </c>
      <c r="C7" s="684">
        <v>105</v>
      </c>
      <c r="D7" s="695" t="s">
        <v>1362</v>
      </c>
      <c r="E7" s="694"/>
      <c r="F7" s="696"/>
      <c r="G7" s="694"/>
      <c r="I7" s="65"/>
      <c r="J7" s="65"/>
      <c r="K7" s="65"/>
      <c r="W7" s="65"/>
    </row>
    <row r="8" spans="1:23" s="66" customFormat="1" ht="12.75">
      <c r="A8" s="684">
        <v>1</v>
      </c>
      <c r="B8" s="684">
        <v>1</v>
      </c>
      <c r="C8" s="684">
        <v>106</v>
      </c>
      <c r="D8" s="686" t="s">
        <v>1363</v>
      </c>
      <c r="E8" s="687" t="s">
        <v>1364</v>
      </c>
      <c r="F8" s="688" t="s">
        <v>1351</v>
      </c>
      <c r="G8" s="689" t="s">
        <v>1352</v>
      </c>
      <c r="I8" s="65"/>
      <c r="J8" s="65"/>
      <c r="K8" s="65"/>
      <c r="W8" s="65"/>
    </row>
    <row r="9" spans="1:23" s="66" customFormat="1" ht="12.75">
      <c r="A9" s="684">
        <v>1</v>
      </c>
      <c r="B9" s="684">
        <v>1</v>
      </c>
      <c r="C9" s="684">
        <v>107</v>
      </c>
      <c r="D9" s="686" t="s">
        <v>1365</v>
      </c>
      <c r="E9" s="687" t="s">
        <v>1366</v>
      </c>
      <c r="F9" s="688" t="s">
        <v>1351</v>
      </c>
      <c r="G9" s="689" t="s">
        <v>1352</v>
      </c>
      <c r="I9" s="69" t="s">
        <v>279</v>
      </c>
      <c r="J9" s="65"/>
      <c r="K9" s="65"/>
      <c r="W9" s="65"/>
    </row>
    <row r="10" spans="1:8" ht="18" customHeight="1">
      <c r="A10" s="684">
        <v>1</v>
      </c>
      <c r="B10" s="684">
        <v>1</v>
      </c>
      <c r="C10" s="684">
        <v>110</v>
      </c>
      <c r="D10" s="686" t="s">
        <v>1367</v>
      </c>
      <c r="E10" s="687" t="s">
        <v>1368</v>
      </c>
      <c r="F10" s="688" t="s">
        <v>1351</v>
      </c>
      <c r="G10" s="689" t="s">
        <v>1355</v>
      </c>
      <c r="H10" s="65"/>
    </row>
    <row r="11" spans="1:8" ht="18" customHeight="1">
      <c r="A11" s="684">
        <v>1</v>
      </c>
      <c r="B11" s="684">
        <v>1</v>
      </c>
      <c r="C11" s="684">
        <v>111</v>
      </c>
      <c r="D11" s="686" t="s">
        <v>1369</v>
      </c>
      <c r="E11" s="687" t="s">
        <v>1368</v>
      </c>
      <c r="F11" s="688" t="s">
        <v>1351</v>
      </c>
      <c r="G11" s="689" t="s">
        <v>1355</v>
      </c>
      <c r="H11" s="65"/>
    </row>
    <row r="12" spans="1:22" s="116" customFormat="1" ht="18" customHeight="1">
      <c r="A12" s="712"/>
      <c r="B12" s="713"/>
      <c r="C12" s="714" t="s">
        <v>1532</v>
      </c>
      <c r="D12" s="715" t="s">
        <v>1533</v>
      </c>
      <c r="E12" s="716"/>
      <c r="F12" s="717"/>
      <c r="G12" s="7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s="116" customFormat="1" ht="17.25" customHeight="1">
      <c r="A13" s="697">
        <v>1</v>
      </c>
      <c r="B13" s="698">
        <v>1</v>
      </c>
      <c r="C13" s="698" t="s">
        <v>1026</v>
      </c>
      <c r="D13" s="700" t="s">
        <v>1370</v>
      </c>
      <c r="E13" s="701" t="s">
        <v>1354</v>
      </c>
      <c r="F13" s="702" t="s">
        <v>1351</v>
      </c>
      <c r="G13" s="702" t="s">
        <v>1352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</row>
    <row r="14" spans="1:22" s="116" customFormat="1" ht="12.75">
      <c r="A14" s="697">
        <v>1</v>
      </c>
      <c r="B14" s="698">
        <v>1</v>
      </c>
      <c r="C14" s="698" t="s">
        <v>1321</v>
      </c>
      <c r="D14" s="700" t="s">
        <v>1371</v>
      </c>
      <c r="E14" s="701" t="s">
        <v>1361</v>
      </c>
      <c r="F14" s="702" t="s">
        <v>1351</v>
      </c>
      <c r="G14" s="702" t="s">
        <v>1352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</row>
    <row r="15" spans="1:22" s="116" customFormat="1" ht="15" customHeight="1">
      <c r="A15" s="697">
        <v>1</v>
      </c>
      <c r="B15" s="698">
        <v>1</v>
      </c>
      <c r="C15" s="698" t="s">
        <v>1372</v>
      </c>
      <c r="D15" s="700" t="s">
        <v>1610</v>
      </c>
      <c r="E15" s="701" t="s">
        <v>1361</v>
      </c>
      <c r="F15" s="702" t="s">
        <v>1351</v>
      </c>
      <c r="G15" s="702" t="s">
        <v>1352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</row>
    <row r="16" spans="1:22" s="116" customFormat="1" ht="18.75" customHeight="1">
      <c r="A16" s="697">
        <v>1</v>
      </c>
      <c r="B16" s="698">
        <v>1</v>
      </c>
      <c r="C16" s="699">
        <v>120</v>
      </c>
      <c r="D16" s="700" t="s">
        <v>1373</v>
      </c>
      <c r="E16" s="701" t="s">
        <v>1368</v>
      </c>
      <c r="F16" s="702" t="s">
        <v>1351</v>
      </c>
      <c r="G16" s="702" t="s">
        <v>1352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</row>
    <row r="17" spans="1:22" s="116" customFormat="1" ht="18.75" customHeight="1">
      <c r="A17" s="697">
        <v>1</v>
      </c>
      <c r="B17" s="698">
        <v>1</v>
      </c>
      <c r="C17" s="699">
        <v>121</v>
      </c>
      <c r="D17" s="700" t="s">
        <v>1374</v>
      </c>
      <c r="E17" s="701" t="s">
        <v>1368</v>
      </c>
      <c r="F17" s="702" t="s">
        <v>1351</v>
      </c>
      <c r="G17" s="702" t="s">
        <v>1352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</row>
    <row r="18" spans="1:22" s="116" customFormat="1" ht="18" customHeight="1">
      <c r="A18" s="697">
        <v>1</v>
      </c>
      <c r="B18" s="698">
        <v>1</v>
      </c>
      <c r="C18" s="699">
        <v>122</v>
      </c>
      <c r="D18" s="700" t="s">
        <v>1375</v>
      </c>
      <c r="E18" s="701" t="s">
        <v>1368</v>
      </c>
      <c r="F18" s="702" t="s">
        <v>1351</v>
      </c>
      <c r="G18" s="702" t="s">
        <v>1352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</row>
    <row r="19" spans="1:22" s="116" customFormat="1" ht="18" customHeight="1">
      <c r="A19" s="718"/>
      <c r="B19" s="719"/>
      <c r="C19" s="720" t="s">
        <v>1530</v>
      </c>
      <c r="D19" s="721" t="s">
        <v>1531</v>
      </c>
      <c r="E19" s="722"/>
      <c r="F19" s="723"/>
      <c r="G19" s="723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</row>
    <row r="20" spans="1:22" s="116" customFormat="1" ht="12.75">
      <c r="A20" s="697">
        <v>1</v>
      </c>
      <c r="B20" s="698">
        <v>1</v>
      </c>
      <c r="C20" s="698" t="s">
        <v>886</v>
      </c>
      <c r="D20" s="700" t="s">
        <v>1376</v>
      </c>
      <c r="E20" s="701" t="s">
        <v>1354</v>
      </c>
      <c r="F20" s="702" t="s">
        <v>1351</v>
      </c>
      <c r="G20" s="702" t="s">
        <v>1352</v>
      </c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</row>
    <row r="21" spans="1:22" s="116" customFormat="1" ht="19.5" customHeight="1">
      <c r="A21" s="697">
        <v>1</v>
      </c>
      <c r="B21" s="698">
        <v>1</v>
      </c>
      <c r="C21" s="698" t="s">
        <v>1378</v>
      </c>
      <c r="D21" s="700" t="s">
        <v>1377</v>
      </c>
      <c r="E21" s="701" t="s">
        <v>1361</v>
      </c>
      <c r="F21" s="702" t="s">
        <v>1351</v>
      </c>
      <c r="G21" s="702" t="s">
        <v>1352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</row>
    <row r="22" spans="1:22" s="116" customFormat="1" ht="17.25" customHeight="1">
      <c r="A22" s="697">
        <v>1</v>
      </c>
      <c r="B22" s="698">
        <v>1</v>
      </c>
      <c r="C22" s="698" t="s">
        <v>1320</v>
      </c>
      <c r="D22" s="700" t="s">
        <v>1609</v>
      </c>
      <c r="E22" s="701" t="s">
        <v>1361</v>
      </c>
      <c r="F22" s="702" t="s">
        <v>1351</v>
      </c>
      <c r="G22" s="702" t="s">
        <v>1352</v>
      </c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</row>
    <row r="23" spans="1:22" s="70" customFormat="1" ht="21" customHeight="1">
      <c r="A23" s="703">
        <v>1</v>
      </c>
      <c r="B23" s="684">
        <v>1</v>
      </c>
      <c r="C23" s="698">
        <v>10</v>
      </c>
      <c r="D23" s="700" t="s">
        <v>1611</v>
      </c>
      <c r="E23" s="701" t="s">
        <v>1359</v>
      </c>
      <c r="F23" s="702" t="s">
        <v>1351</v>
      </c>
      <c r="G23" s="702" t="s">
        <v>1352</v>
      </c>
      <c r="J23" s="66"/>
      <c r="K23" s="66"/>
      <c r="L23" s="66"/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pans="1:8" ht="12.75">
      <c r="A24" s="684">
        <v>1</v>
      </c>
      <c r="B24" s="684">
        <v>2</v>
      </c>
      <c r="C24" s="684">
        <v>11</v>
      </c>
      <c r="D24" s="686" t="s">
        <v>1379</v>
      </c>
      <c r="E24" s="687" t="s">
        <v>1380</v>
      </c>
      <c r="F24" s="688" t="s">
        <v>1351</v>
      </c>
      <c r="G24" s="689" t="s">
        <v>1352</v>
      </c>
      <c r="H24" s="65"/>
    </row>
    <row r="25" spans="1:23" s="66" customFormat="1" ht="12.75">
      <c r="A25" s="684">
        <v>1</v>
      </c>
      <c r="B25" s="684">
        <v>2</v>
      </c>
      <c r="C25" s="684">
        <v>12</v>
      </c>
      <c r="D25" s="686" t="s">
        <v>265</v>
      </c>
      <c r="E25" s="687" t="s">
        <v>1381</v>
      </c>
      <c r="F25" s="688" t="s">
        <v>1351</v>
      </c>
      <c r="G25" s="689" t="s">
        <v>1352</v>
      </c>
      <c r="I25" s="65"/>
      <c r="W25" s="65"/>
    </row>
    <row r="26" spans="1:23" s="66" customFormat="1" ht="12.75">
      <c r="A26" s="684">
        <v>1</v>
      </c>
      <c r="B26" s="684">
        <v>2</v>
      </c>
      <c r="C26" s="684">
        <v>13</v>
      </c>
      <c r="D26" s="686" t="s">
        <v>835</v>
      </c>
      <c r="E26" s="687" t="s">
        <v>1382</v>
      </c>
      <c r="F26" s="688" t="s">
        <v>1351</v>
      </c>
      <c r="G26" s="689" t="s">
        <v>1352</v>
      </c>
      <c r="I26" s="65"/>
      <c r="W26" s="65"/>
    </row>
    <row r="27" spans="1:23" s="66" customFormat="1" ht="12.75">
      <c r="A27" s="684">
        <v>1</v>
      </c>
      <c r="B27" s="684">
        <v>2</v>
      </c>
      <c r="C27" s="684">
        <v>14</v>
      </c>
      <c r="D27" s="686" t="s">
        <v>1383</v>
      </c>
      <c r="E27" s="687" t="s">
        <v>1384</v>
      </c>
      <c r="F27" s="688" t="s">
        <v>1351</v>
      </c>
      <c r="G27" s="689" t="s">
        <v>1352</v>
      </c>
      <c r="I27" s="65"/>
      <c r="W27" s="65"/>
    </row>
    <row r="28" spans="1:23" s="66" customFormat="1" ht="12.75">
      <c r="A28" s="684">
        <v>1</v>
      </c>
      <c r="B28" s="684">
        <v>2</v>
      </c>
      <c r="C28" s="684">
        <v>15</v>
      </c>
      <c r="D28" s="686" t="s">
        <v>1385</v>
      </c>
      <c r="E28" s="687" t="s">
        <v>1386</v>
      </c>
      <c r="F28" s="688" t="s">
        <v>1351</v>
      </c>
      <c r="G28" s="689" t="s">
        <v>1352</v>
      </c>
      <c r="I28" s="65"/>
      <c r="W28" s="65"/>
    </row>
    <row r="29" spans="1:23" s="66" customFormat="1" ht="12.75">
      <c r="A29" s="684">
        <v>1</v>
      </c>
      <c r="B29" s="684">
        <v>2</v>
      </c>
      <c r="C29" s="684">
        <v>16</v>
      </c>
      <c r="D29" s="686" t="s">
        <v>70</v>
      </c>
      <c r="E29" s="687" t="s">
        <v>1387</v>
      </c>
      <c r="F29" s="688" t="s">
        <v>1351</v>
      </c>
      <c r="G29" s="689" t="s">
        <v>1352</v>
      </c>
      <c r="I29" s="65"/>
      <c r="W29" s="65"/>
    </row>
    <row r="30" spans="1:23" s="66" customFormat="1" ht="12.75">
      <c r="A30" s="684">
        <v>1</v>
      </c>
      <c r="B30" s="684">
        <v>2</v>
      </c>
      <c r="C30" s="684">
        <v>17</v>
      </c>
      <c r="D30" s="686" t="s">
        <v>1388</v>
      </c>
      <c r="E30" s="687" t="s">
        <v>1389</v>
      </c>
      <c r="F30" s="688" t="s">
        <v>1351</v>
      </c>
      <c r="G30" s="689" t="s">
        <v>1352</v>
      </c>
      <c r="I30" s="65"/>
      <c r="W30" s="65"/>
    </row>
    <row r="31" spans="1:23" s="66" customFormat="1" ht="12.75">
      <c r="A31" s="684">
        <v>1</v>
      </c>
      <c r="B31" s="684">
        <v>2</v>
      </c>
      <c r="C31" s="684">
        <v>19</v>
      </c>
      <c r="D31" s="686" t="s">
        <v>838</v>
      </c>
      <c r="E31" s="687" t="s">
        <v>1390</v>
      </c>
      <c r="F31" s="688" t="s">
        <v>1351</v>
      </c>
      <c r="G31" s="689" t="s">
        <v>1352</v>
      </c>
      <c r="I31" s="65"/>
      <c r="L31" s="72"/>
      <c r="W31" s="65"/>
    </row>
    <row r="32" spans="1:8" ht="12.75">
      <c r="A32" s="684">
        <v>1</v>
      </c>
      <c r="B32" s="684">
        <v>2</v>
      </c>
      <c r="C32" s="684">
        <v>20</v>
      </c>
      <c r="D32" s="686" t="s">
        <v>260</v>
      </c>
      <c r="E32" s="687" t="s">
        <v>1391</v>
      </c>
      <c r="F32" s="688" t="s">
        <v>1351</v>
      </c>
      <c r="G32" s="689" t="s">
        <v>1352</v>
      </c>
      <c r="H32" s="65"/>
    </row>
    <row r="33" spans="1:8" ht="12.75">
      <c r="A33" s="684">
        <v>1</v>
      </c>
      <c r="B33" s="684">
        <v>2</v>
      </c>
      <c r="C33" s="684">
        <v>21</v>
      </c>
      <c r="D33" s="686" t="s">
        <v>1392</v>
      </c>
      <c r="E33" s="687" t="s">
        <v>1393</v>
      </c>
      <c r="F33" s="688" t="s">
        <v>1351</v>
      </c>
      <c r="G33" s="689" t="s">
        <v>1352</v>
      </c>
      <c r="H33" s="65"/>
    </row>
    <row r="34" spans="1:8" ht="12.75">
      <c r="A34" s="684">
        <v>1</v>
      </c>
      <c r="B34" s="684">
        <v>2</v>
      </c>
      <c r="C34" s="684">
        <v>22</v>
      </c>
      <c r="D34" s="686" t="s">
        <v>1394</v>
      </c>
      <c r="E34" s="687" t="s">
        <v>1395</v>
      </c>
      <c r="F34" s="688" t="s">
        <v>1351</v>
      </c>
      <c r="G34" s="689" t="s">
        <v>1352</v>
      </c>
      <c r="H34" s="65"/>
    </row>
    <row r="35" spans="1:8" ht="12.75">
      <c r="A35" s="684">
        <v>1</v>
      </c>
      <c r="B35" s="684">
        <v>2</v>
      </c>
      <c r="C35" s="704">
        <v>29</v>
      </c>
      <c r="D35" s="686" t="s">
        <v>259</v>
      </c>
      <c r="E35" s="687" t="s">
        <v>1396</v>
      </c>
      <c r="F35" s="688" t="s">
        <v>1351</v>
      </c>
      <c r="G35" s="689" t="s">
        <v>1352</v>
      </c>
      <c r="H35" s="65"/>
    </row>
    <row r="36" spans="1:8" ht="12.75">
      <c r="A36" s="684">
        <v>1</v>
      </c>
      <c r="B36" s="684">
        <v>3</v>
      </c>
      <c r="C36" s="684">
        <v>31</v>
      </c>
      <c r="D36" s="686" t="s">
        <v>1397</v>
      </c>
      <c r="E36" s="687" t="s">
        <v>1398</v>
      </c>
      <c r="F36" s="688" t="s">
        <v>1351</v>
      </c>
      <c r="G36" s="689" t="s">
        <v>1352</v>
      </c>
      <c r="H36" s="65"/>
    </row>
    <row r="37" spans="1:8" ht="12.75">
      <c r="A37" s="684">
        <v>1</v>
      </c>
      <c r="B37" s="684">
        <v>3</v>
      </c>
      <c r="C37" s="684">
        <v>32</v>
      </c>
      <c r="D37" s="686" t="s">
        <v>1399</v>
      </c>
      <c r="E37" s="687" t="s">
        <v>1400</v>
      </c>
      <c r="F37" s="688" t="s">
        <v>1351</v>
      </c>
      <c r="G37" s="689" t="s">
        <v>1352</v>
      </c>
      <c r="H37" s="65"/>
    </row>
    <row r="38" spans="1:23" s="66" customFormat="1" ht="12.75">
      <c r="A38" s="684">
        <v>1</v>
      </c>
      <c r="B38" s="684">
        <v>3</v>
      </c>
      <c r="C38" s="684">
        <v>33</v>
      </c>
      <c r="D38" s="686" t="s">
        <v>1401</v>
      </c>
      <c r="E38" s="687" t="s">
        <v>1402</v>
      </c>
      <c r="F38" s="688" t="s">
        <v>1351</v>
      </c>
      <c r="G38" s="689" t="s">
        <v>1352</v>
      </c>
      <c r="I38" s="65"/>
      <c r="W38" s="65"/>
    </row>
    <row r="39" spans="1:23" s="66" customFormat="1" ht="12.75">
      <c r="A39" s="684">
        <v>1</v>
      </c>
      <c r="B39" s="684">
        <v>3</v>
      </c>
      <c r="C39" s="684">
        <v>35</v>
      </c>
      <c r="D39" s="686" t="s">
        <v>1403</v>
      </c>
      <c r="E39" s="687" t="s">
        <v>1404</v>
      </c>
      <c r="F39" s="688" t="s">
        <v>1351</v>
      </c>
      <c r="G39" s="689" t="s">
        <v>1352</v>
      </c>
      <c r="I39" s="65"/>
      <c r="W39" s="65"/>
    </row>
    <row r="40" spans="1:23" s="66" customFormat="1" ht="12.75">
      <c r="A40" s="684">
        <v>1</v>
      </c>
      <c r="B40" s="684">
        <v>3</v>
      </c>
      <c r="C40" s="684">
        <v>41</v>
      </c>
      <c r="D40" s="686" t="s">
        <v>1405</v>
      </c>
      <c r="E40" s="687" t="s">
        <v>1406</v>
      </c>
      <c r="F40" s="688" t="s">
        <v>1351</v>
      </c>
      <c r="G40" s="689" t="s">
        <v>1352</v>
      </c>
      <c r="I40" s="65"/>
      <c r="J40" s="66" t="s">
        <v>1407</v>
      </c>
      <c r="K40" s="73">
        <v>265585.3</v>
      </c>
      <c r="L40" s="66" t="e">
        <f>K40/#REF!</f>
        <v>#REF!</v>
      </c>
      <c r="W40" s="65"/>
    </row>
    <row r="41" spans="1:23" s="66" customFormat="1" ht="12.75">
      <c r="A41" s="684">
        <v>1</v>
      </c>
      <c r="B41" s="684">
        <v>3</v>
      </c>
      <c r="C41" s="684">
        <v>42</v>
      </c>
      <c r="D41" s="686" t="s">
        <v>1408</v>
      </c>
      <c r="E41" s="687" t="s">
        <v>1409</v>
      </c>
      <c r="F41" s="688" t="s">
        <v>1351</v>
      </c>
      <c r="G41" s="689" t="s">
        <v>1352</v>
      </c>
      <c r="I41" s="65"/>
      <c r="W41" s="65"/>
    </row>
    <row r="42" spans="1:23" s="66" customFormat="1" ht="12.75">
      <c r="A42" s="684">
        <v>1</v>
      </c>
      <c r="B42" s="684">
        <v>3</v>
      </c>
      <c r="C42" s="684">
        <v>43</v>
      </c>
      <c r="D42" s="686" t="s">
        <v>1410</v>
      </c>
      <c r="E42" s="687" t="s">
        <v>1411</v>
      </c>
      <c r="F42" s="688" t="s">
        <v>1351</v>
      </c>
      <c r="G42" s="689" t="s">
        <v>1352</v>
      </c>
      <c r="I42" s="65"/>
      <c r="W42" s="65"/>
    </row>
    <row r="43" spans="1:23" s="66" customFormat="1" ht="12.75">
      <c r="A43" s="684">
        <v>1</v>
      </c>
      <c r="B43" s="684">
        <v>3</v>
      </c>
      <c r="C43" s="684">
        <v>44</v>
      </c>
      <c r="D43" s="686" t="s">
        <v>1412</v>
      </c>
      <c r="E43" s="687" t="s">
        <v>1413</v>
      </c>
      <c r="F43" s="688" t="s">
        <v>1351</v>
      </c>
      <c r="G43" s="689" t="s">
        <v>1352</v>
      </c>
      <c r="I43" s="65"/>
      <c r="W43" s="65"/>
    </row>
    <row r="44" spans="1:23" s="66" customFormat="1" ht="12.75">
      <c r="A44" s="684">
        <v>1</v>
      </c>
      <c r="B44" s="684">
        <v>3</v>
      </c>
      <c r="C44" s="684">
        <v>45</v>
      </c>
      <c r="D44" s="686" t="s">
        <v>574</v>
      </c>
      <c r="E44" s="687" t="s">
        <v>1414</v>
      </c>
      <c r="F44" s="688" t="s">
        <v>1351</v>
      </c>
      <c r="G44" s="689" t="s">
        <v>1352</v>
      </c>
      <c r="I44" s="65"/>
      <c r="W44" s="65"/>
    </row>
    <row r="45" spans="1:8" ht="12.75">
      <c r="A45" s="684">
        <v>1</v>
      </c>
      <c r="B45" s="684">
        <v>3</v>
      </c>
      <c r="C45" s="684">
        <v>47</v>
      </c>
      <c r="D45" s="686" t="s">
        <v>1415</v>
      </c>
      <c r="E45" s="687" t="s">
        <v>1416</v>
      </c>
      <c r="F45" s="688" t="s">
        <v>1351</v>
      </c>
      <c r="G45" s="689" t="s">
        <v>1352</v>
      </c>
      <c r="H45" s="65"/>
    </row>
    <row r="46" spans="1:23" s="66" customFormat="1" ht="12.75">
      <c r="A46" s="684">
        <v>1</v>
      </c>
      <c r="B46" s="684">
        <v>3</v>
      </c>
      <c r="C46" s="684">
        <v>48</v>
      </c>
      <c r="D46" s="686" t="s">
        <v>1417</v>
      </c>
      <c r="E46" s="687" t="s">
        <v>1418</v>
      </c>
      <c r="F46" s="688" t="s">
        <v>1351</v>
      </c>
      <c r="G46" s="689" t="s">
        <v>1352</v>
      </c>
      <c r="I46" s="65"/>
      <c r="W46" s="65"/>
    </row>
    <row r="47" spans="1:23" s="66" customFormat="1" ht="12.75">
      <c r="A47" s="684">
        <v>1</v>
      </c>
      <c r="B47" s="684">
        <v>3</v>
      </c>
      <c r="C47" s="684">
        <v>49</v>
      </c>
      <c r="D47" s="686" t="s">
        <v>1419</v>
      </c>
      <c r="E47" s="687" t="s">
        <v>1420</v>
      </c>
      <c r="F47" s="688" t="s">
        <v>1351</v>
      </c>
      <c r="G47" s="689" t="s">
        <v>1352</v>
      </c>
      <c r="I47" s="65"/>
      <c r="W47" s="65"/>
    </row>
    <row r="48" spans="1:8" ht="12.75">
      <c r="A48" s="684">
        <v>1</v>
      </c>
      <c r="B48" s="684">
        <v>3</v>
      </c>
      <c r="C48" s="684">
        <v>50</v>
      </c>
      <c r="D48" s="686" t="s">
        <v>1421</v>
      </c>
      <c r="E48" s="687" t="s">
        <v>1422</v>
      </c>
      <c r="F48" s="688" t="s">
        <v>1351</v>
      </c>
      <c r="G48" s="689" t="s">
        <v>1352</v>
      </c>
      <c r="H48" s="65"/>
    </row>
    <row r="49" spans="1:8" ht="12.75">
      <c r="A49" s="684">
        <v>1</v>
      </c>
      <c r="B49" s="684">
        <v>3</v>
      </c>
      <c r="C49" s="684">
        <v>51</v>
      </c>
      <c r="D49" s="686" t="s">
        <v>1423</v>
      </c>
      <c r="E49" s="687" t="s">
        <v>1424</v>
      </c>
      <c r="F49" s="688" t="s">
        <v>1351</v>
      </c>
      <c r="G49" s="689" t="s">
        <v>1352</v>
      </c>
      <c r="H49" s="65"/>
    </row>
    <row r="50" spans="1:23" s="66" customFormat="1" ht="12.75">
      <c r="A50" s="684">
        <v>1</v>
      </c>
      <c r="B50" s="684">
        <v>3</v>
      </c>
      <c r="C50" s="684">
        <v>52</v>
      </c>
      <c r="D50" s="686" t="s">
        <v>1425</v>
      </c>
      <c r="E50" s="687" t="s">
        <v>1426</v>
      </c>
      <c r="F50" s="688" t="s">
        <v>1351</v>
      </c>
      <c r="G50" s="689" t="s">
        <v>1352</v>
      </c>
      <c r="I50" s="65"/>
      <c r="W50" s="65"/>
    </row>
    <row r="51" spans="1:23" s="66" customFormat="1" ht="12.75">
      <c r="A51" s="684">
        <v>1</v>
      </c>
      <c r="B51" s="684">
        <v>3</v>
      </c>
      <c r="C51" s="684">
        <v>53</v>
      </c>
      <c r="D51" s="686" t="s">
        <v>1427</v>
      </c>
      <c r="E51" s="687" t="s">
        <v>1428</v>
      </c>
      <c r="F51" s="688" t="s">
        <v>1351</v>
      </c>
      <c r="G51" s="689" t="s">
        <v>1352</v>
      </c>
      <c r="I51" s="65"/>
      <c r="W51" s="65"/>
    </row>
    <row r="52" spans="1:23" s="66" customFormat="1" ht="12.75">
      <c r="A52" s="684">
        <v>1</v>
      </c>
      <c r="B52" s="684">
        <v>3</v>
      </c>
      <c r="C52" s="684">
        <v>54</v>
      </c>
      <c r="D52" s="686" t="s">
        <v>1429</v>
      </c>
      <c r="E52" s="687" t="s">
        <v>1430</v>
      </c>
      <c r="F52" s="688" t="s">
        <v>1351</v>
      </c>
      <c r="G52" s="689" t="s">
        <v>1352</v>
      </c>
      <c r="I52" s="65"/>
      <c r="W52" s="65"/>
    </row>
    <row r="53" spans="1:8" ht="12.75">
      <c r="A53" s="684">
        <v>1</v>
      </c>
      <c r="B53" s="684">
        <v>3</v>
      </c>
      <c r="C53" s="684">
        <v>56</v>
      </c>
      <c r="D53" s="686" t="s">
        <v>1431</v>
      </c>
      <c r="E53" s="687" t="s">
        <v>1432</v>
      </c>
      <c r="F53" s="688" t="s">
        <v>1351</v>
      </c>
      <c r="G53" s="689" t="s">
        <v>1352</v>
      </c>
      <c r="H53" s="65"/>
    </row>
    <row r="54" spans="1:8" ht="12.75">
      <c r="A54" s="684">
        <v>1</v>
      </c>
      <c r="B54" s="684">
        <v>3</v>
      </c>
      <c r="C54" s="684">
        <v>57</v>
      </c>
      <c r="D54" s="686" t="s">
        <v>1433</v>
      </c>
      <c r="E54" s="687" t="s">
        <v>1434</v>
      </c>
      <c r="F54" s="688" t="s">
        <v>1351</v>
      </c>
      <c r="G54" s="689" t="s">
        <v>1352</v>
      </c>
      <c r="H54" s="65"/>
    </row>
    <row r="55" spans="1:8" ht="12.75">
      <c r="A55" s="684">
        <v>1</v>
      </c>
      <c r="B55" s="684">
        <v>3</v>
      </c>
      <c r="C55" s="684">
        <v>58</v>
      </c>
      <c r="D55" s="686" t="s">
        <v>1435</v>
      </c>
      <c r="E55" s="687" t="s">
        <v>1436</v>
      </c>
      <c r="F55" s="688" t="s">
        <v>1351</v>
      </c>
      <c r="G55" s="689" t="s">
        <v>1352</v>
      </c>
      <c r="H55" s="65"/>
    </row>
    <row r="56" spans="1:8" ht="12.75">
      <c r="A56" s="684">
        <v>1</v>
      </c>
      <c r="B56" s="684">
        <v>3</v>
      </c>
      <c r="C56" s="684">
        <v>59</v>
      </c>
      <c r="D56" s="686" t="s">
        <v>1437</v>
      </c>
      <c r="E56" s="687" t="s">
        <v>1438</v>
      </c>
      <c r="F56" s="688" t="s">
        <v>1351</v>
      </c>
      <c r="G56" s="689" t="s">
        <v>1352</v>
      </c>
      <c r="H56" s="65"/>
    </row>
    <row r="57" spans="1:8" ht="12.75">
      <c r="A57" s="684">
        <v>1</v>
      </c>
      <c r="B57" s="684">
        <v>3</v>
      </c>
      <c r="C57" s="684">
        <v>55</v>
      </c>
      <c r="D57" s="686" t="s">
        <v>348</v>
      </c>
      <c r="E57" s="687" t="s">
        <v>1439</v>
      </c>
      <c r="F57" s="688" t="s">
        <v>1351</v>
      </c>
      <c r="G57" s="689" t="s">
        <v>1352</v>
      </c>
      <c r="H57" s="65"/>
    </row>
    <row r="58" spans="1:8" ht="12.75">
      <c r="A58" s="684">
        <v>1</v>
      </c>
      <c r="B58" s="684">
        <v>4</v>
      </c>
      <c r="C58" s="684">
        <v>61</v>
      </c>
      <c r="D58" s="686" t="s">
        <v>1440</v>
      </c>
      <c r="E58" s="687" t="s">
        <v>1441</v>
      </c>
      <c r="F58" s="688" t="s">
        <v>1351</v>
      </c>
      <c r="G58" s="689" t="s">
        <v>1352</v>
      </c>
      <c r="H58" s="65"/>
    </row>
    <row r="59" spans="1:8" ht="12.75">
      <c r="A59" s="684">
        <v>1</v>
      </c>
      <c r="B59" s="684">
        <v>4</v>
      </c>
      <c r="C59" s="684">
        <v>62</v>
      </c>
      <c r="D59" s="686" t="s">
        <v>1442</v>
      </c>
      <c r="E59" s="687" t="s">
        <v>1443</v>
      </c>
      <c r="F59" s="688" t="s">
        <v>1351</v>
      </c>
      <c r="G59" s="689" t="s">
        <v>1352</v>
      </c>
      <c r="H59" s="65"/>
    </row>
    <row r="60" spans="1:8" ht="12.75">
      <c r="A60" s="684">
        <v>1</v>
      </c>
      <c r="B60" s="684">
        <v>4</v>
      </c>
      <c r="C60" s="684">
        <v>63</v>
      </c>
      <c r="D60" s="686" t="s">
        <v>1444</v>
      </c>
      <c r="E60" s="687" t="s">
        <v>1445</v>
      </c>
      <c r="F60" s="688" t="s">
        <v>1351</v>
      </c>
      <c r="G60" s="689" t="s">
        <v>1352</v>
      </c>
      <c r="H60" s="65"/>
    </row>
    <row r="61" spans="1:8" ht="12.75">
      <c r="A61" s="684">
        <v>1</v>
      </c>
      <c r="B61" s="684">
        <v>4</v>
      </c>
      <c r="C61" s="684">
        <v>64</v>
      </c>
      <c r="D61" s="686" t="s">
        <v>1446</v>
      </c>
      <c r="E61" s="687" t="s">
        <v>1447</v>
      </c>
      <c r="F61" s="688" t="s">
        <v>1351</v>
      </c>
      <c r="G61" s="689" t="s">
        <v>1352</v>
      </c>
      <c r="H61" s="65"/>
    </row>
    <row r="62" spans="1:8" ht="12.75">
      <c r="A62" s="684">
        <v>1</v>
      </c>
      <c r="B62" s="684">
        <v>4</v>
      </c>
      <c r="C62" s="705">
        <v>67</v>
      </c>
      <c r="D62" s="686" t="s">
        <v>1448</v>
      </c>
      <c r="E62" s="687" t="s">
        <v>1449</v>
      </c>
      <c r="F62" s="688" t="s">
        <v>1351</v>
      </c>
      <c r="G62" s="689" t="s">
        <v>1352</v>
      </c>
      <c r="H62" s="65"/>
    </row>
    <row r="63" spans="1:8" ht="12.75">
      <c r="A63" s="684">
        <v>1</v>
      </c>
      <c r="B63" s="684">
        <v>4</v>
      </c>
      <c r="C63" s="684">
        <v>68</v>
      </c>
      <c r="D63" s="686" t="s">
        <v>1450</v>
      </c>
      <c r="E63" s="687" t="s">
        <v>1451</v>
      </c>
      <c r="F63" s="688" t="s">
        <v>1351</v>
      </c>
      <c r="G63" s="689" t="s">
        <v>1352</v>
      </c>
      <c r="H63" s="65"/>
    </row>
    <row r="64" spans="1:23" s="66" customFormat="1" ht="12.75">
      <c r="A64" s="684">
        <v>1</v>
      </c>
      <c r="B64" s="684">
        <v>7</v>
      </c>
      <c r="C64" s="684">
        <v>70</v>
      </c>
      <c r="D64" s="686" t="s">
        <v>1452</v>
      </c>
      <c r="E64" s="687" t="s">
        <v>1453</v>
      </c>
      <c r="F64" s="688" t="s">
        <v>1351</v>
      </c>
      <c r="G64" s="689" t="s">
        <v>1352</v>
      </c>
      <c r="I64" s="74" t="s">
        <v>1454</v>
      </c>
      <c r="W64" s="65"/>
    </row>
    <row r="65" spans="1:8" ht="12.75">
      <c r="A65" s="684">
        <v>1</v>
      </c>
      <c r="B65" s="684">
        <v>7</v>
      </c>
      <c r="C65" s="684">
        <v>70</v>
      </c>
      <c r="D65" s="686" t="s">
        <v>1455</v>
      </c>
      <c r="E65" s="687" t="s">
        <v>1456</v>
      </c>
      <c r="F65" s="688" t="s">
        <v>1351</v>
      </c>
      <c r="G65" s="689" t="s">
        <v>1352</v>
      </c>
      <c r="H65" s="65"/>
    </row>
    <row r="66" spans="1:8" ht="12.75">
      <c r="A66" s="684">
        <v>1</v>
      </c>
      <c r="B66" s="684">
        <v>7</v>
      </c>
      <c r="C66" s="684">
        <v>71</v>
      </c>
      <c r="D66" s="686" t="s">
        <v>1457</v>
      </c>
      <c r="E66" s="687" t="s">
        <v>1458</v>
      </c>
      <c r="F66" s="688" t="s">
        <v>1351</v>
      </c>
      <c r="G66" s="689" t="s">
        <v>1352</v>
      </c>
      <c r="H66" s="65"/>
    </row>
    <row r="67" spans="1:8" ht="12.75">
      <c r="A67" s="684">
        <v>1</v>
      </c>
      <c r="B67" s="684">
        <v>7</v>
      </c>
      <c r="C67" s="684">
        <v>72</v>
      </c>
      <c r="D67" s="686" t="s">
        <v>1459</v>
      </c>
      <c r="E67" s="687" t="s">
        <v>1460</v>
      </c>
      <c r="F67" s="688" t="s">
        <v>1351</v>
      </c>
      <c r="G67" s="689" t="s">
        <v>1352</v>
      </c>
      <c r="H67" s="65"/>
    </row>
    <row r="68" spans="1:8" ht="12.75">
      <c r="A68" s="684">
        <v>1</v>
      </c>
      <c r="B68" s="684">
        <v>7</v>
      </c>
      <c r="C68" s="684">
        <v>73</v>
      </c>
      <c r="D68" s="686" t="s">
        <v>1461</v>
      </c>
      <c r="E68" s="687" t="s">
        <v>1462</v>
      </c>
      <c r="F68" s="688" t="s">
        <v>1351</v>
      </c>
      <c r="G68" s="689" t="s">
        <v>1352</v>
      </c>
      <c r="H68" s="65"/>
    </row>
    <row r="69" spans="1:8" ht="12.75">
      <c r="A69" s="684">
        <v>1</v>
      </c>
      <c r="B69" s="684">
        <v>7</v>
      </c>
      <c r="C69" s="684">
        <v>74</v>
      </c>
      <c r="D69" s="686" t="s">
        <v>1463</v>
      </c>
      <c r="E69" s="687" t="s">
        <v>1464</v>
      </c>
      <c r="F69" s="688" t="s">
        <v>1351</v>
      </c>
      <c r="G69" s="689" t="s">
        <v>1352</v>
      </c>
      <c r="H69" s="65"/>
    </row>
    <row r="70" spans="1:8" ht="12.75">
      <c r="A70" s="685">
        <v>1</v>
      </c>
      <c r="B70" s="685">
        <v>8</v>
      </c>
      <c r="C70" s="685">
        <v>80</v>
      </c>
      <c r="D70" s="686" t="s">
        <v>1465</v>
      </c>
      <c r="E70" s="687" t="s">
        <v>1466</v>
      </c>
      <c r="F70" s="688" t="s">
        <v>1351</v>
      </c>
      <c r="G70" s="689" t="s">
        <v>1352</v>
      </c>
      <c r="H70" s="65"/>
    </row>
    <row r="71" spans="1:8" ht="12.75">
      <c r="A71" s="684">
        <v>1</v>
      </c>
      <c r="B71" s="684">
        <v>9</v>
      </c>
      <c r="C71" s="684">
        <v>75</v>
      </c>
      <c r="D71" s="686" t="s">
        <v>1467</v>
      </c>
      <c r="E71" s="687" t="s">
        <v>1468</v>
      </c>
      <c r="F71" s="688" t="s">
        <v>1351</v>
      </c>
      <c r="G71" s="689" t="s">
        <v>1352</v>
      </c>
      <c r="H71" s="65"/>
    </row>
    <row r="72" spans="1:8" ht="12.75">
      <c r="A72" s="684">
        <v>1</v>
      </c>
      <c r="B72" s="684">
        <v>9</v>
      </c>
      <c r="C72" s="684">
        <v>76</v>
      </c>
      <c r="D72" s="686" t="s">
        <v>1469</v>
      </c>
      <c r="E72" s="687" t="s">
        <v>1470</v>
      </c>
      <c r="F72" s="688" t="s">
        <v>1351</v>
      </c>
      <c r="G72" s="689" t="s">
        <v>1352</v>
      </c>
      <c r="H72" s="65"/>
    </row>
    <row r="73" spans="1:8" ht="12.75">
      <c r="A73" s="684">
        <v>1</v>
      </c>
      <c r="B73" s="684">
        <v>9</v>
      </c>
      <c r="C73" s="684">
        <v>77</v>
      </c>
      <c r="D73" s="686" t="s">
        <v>1471</v>
      </c>
      <c r="E73" s="687" t="s">
        <v>1472</v>
      </c>
      <c r="F73" s="688" t="s">
        <v>1351</v>
      </c>
      <c r="G73" s="689" t="s">
        <v>1352</v>
      </c>
      <c r="H73" s="65"/>
    </row>
    <row r="74" spans="1:8" ht="12.75">
      <c r="A74" s="684">
        <v>1</v>
      </c>
      <c r="B74" s="684">
        <v>9</v>
      </c>
      <c r="C74" s="684">
        <v>65</v>
      </c>
      <c r="D74" s="706" t="s">
        <v>1473</v>
      </c>
      <c r="E74" s="687" t="s">
        <v>1474</v>
      </c>
      <c r="F74" s="688" t="s">
        <v>1351</v>
      </c>
      <c r="G74" s="688" t="s">
        <v>1352</v>
      </c>
      <c r="H74" s="65"/>
    </row>
    <row r="75" spans="1:8" ht="12.75">
      <c r="A75" s="684">
        <v>1</v>
      </c>
      <c r="B75" s="684">
        <v>9</v>
      </c>
      <c r="C75" s="684">
        <v>78</v>
      </c>
      <c r="D75" s="686" t="s">
        <v>1475</v>
      </c>
      <c r="E75" s="687" t="s">
        <v>1476</v>
      </c>
      <c r="F75" s="688" t="s">
        <v>1351</v>
      </c>
      <c r="G75" s="689" t="s">
        <v>1352</v>
      </c>
      <c r="H75" s="65"/>
    </row>
    <row r="76" spans="1:8" ht="12.75">
      <c r="A76" s="684">
        <v>1</v>
      </c>
      <c r="B76" s="684">
        <v>9</v>
      </c>
      <c r="C76" s="684">
        <v>79</v>
      </c>
      <c r="D76" s="686" t="s">
        <v>1477</v>
      </c>
      <c r="E76" s="687" t="s">
        <v>1478</v>
      </c>
      <c r="F76" s="688" t="s">
        <v>1351</v>
      </c>
      <c r="G76" s="689" t="s">
        <v>1352</v>
      </c>
      <c r="H76" s="65"/>
    </row>
    <row r="77" spans="1:23" s="66" customFormat="1" ht="12.75">
      <c r="A77" s="684">
        <v>1</v>
      </c>
      <c r="B77" s="684">
        <v>10</v>
      </c>
      <c r="C77" s="684">
        <v>80</v>
      </c>
      <c r="D77" s="707" t="s">
        <v>1479</v>
      </c>
      <c r="E77" s="690" t="s">
        <v>1480</v>
      </c>
      <c r="F77" s="708" t="s">
        <v>1351</v>
      </c>
      <c r="G77" s="709" t="s">
        <v>1355</v>
      </c>
      <c r="I77" s="65"/>
      <c r="W77" s="65"/>
    </row>
    <row r="78" spans="1:23" s="66" customFormat="1" ht="15" customHeight="1">
      <c r="A78" s="684">
        <v>1</v>
      </c>
      <c r="B78" s="684">
        <v>10</v>
      </c>
      <c r="C78" s="684">
        <v>81</v>
      </c>
      <c r="D78" s="710" t="s">
        <v>1481</v>
      </c>
      <c r="E78" s="690" t="s">
        <v>1480</v>
      </c>
      <c r="F78" s="708" t="s">
        <v>1351</v>
      </c>
      <c r="G78" s="709" t="s">
        <v>1355</v>
      </c>
      <c r="I78" s="65"/>
      <c r="W78" s="65"/>
    </row>
    <row r="79" spans="1:23" s="66" customFormat="1" ht="15" customHeight="1">
      <c r="A79" s="684">
        <v>1</v>
      </c>
      <c r="B79" s="684">
        <v>10</v>
      </c>
      <c r="C79" s="684">
        <v>82</v>
      </c>
      <c r="D79" s="707" t="s">
        <v>1482</v>
      </c>
      <c r="E79" s="690" t="s">
        <v>1480</v>
      </c>
      <c r="F79" s="708" t="s">
        <v>1351</v>
      </c>
      <c r="G79" s="709" t="s">
        <v>1355</v>
      </c>
      <c r="I79" s="65"/>
      <c r="W79" s="65"/>
    </row>
    <row r="80" spans="1:23" s="66" customFormat="1" ht="15" customHeight="1">
      <c r="A80" s="684">
        <v>1</v>
      </c>
      <c r="B80" s="684">
        <v>10</v>
      </c>
      <c r="C80" s="684">
        <v>89</v>
      </c>
      <c r="D80" s="707" t="s">
        <v>1483</v>
      </c>
      <c r="E80" s="690" t="s">
        <v>1480</v>
      </c>
      <c r="F80" s="708" t="s">
        <v>1351</v>
      </c>
      <c r="G80" s="709" t="s">
        <v>1355</v>
      </c>
      <c r="W80" s="65"/>
    </row>
    <row r="81" spans="1:23" s="66" customFormat="1" ht="12.75">
      <c r="A81" s="684">
        <v>1</v>
      </c>
      <c r="B81" s="684">
        <v>10</v>
      </c>
      <c r="C81" s="684">
        <v>83</v>
      </c>
      <c r="D81" s="686" t="s">
        <v>1484</v>
      </c>
      <c r="E81" s="687" t="s">
        <v>1485</v>
      </c>
      <c r="F81" s="688" t="s">
        <v>1351</v>
      </c>
      <c r="G81" s="689" t="s">
        <v>1352</v>
      </c>
      <c r="I81" s="65"/>
      <c r="W81" s="65"/>
    </row>
    <row r="82" spans="1:23" s="66" customFormat="1" ht="12.75">
      <c r="A82" s="684">
        <v>1</v>
      </c>
      <c r="B82" s="684">
        <v>10</v>
      </c>
      <c r="C82" s="684">
        <v>84</v>
      </c>
      <c r="D82" s="686" t="s">
        <v>1486</v>
      </c>
      <c r="E82" s="687" t="s">
        <v>1487</v>
      </c>
      <c r="F82" s="688" t="s">
        <v>1351</v>
      </c>
      <c r="G82" s="689" t="s">
        <v>1352</v>
      </c>
      <c r="I82" s="65"/>
      <c r="W82" s="65"/>
    </row>
    <row r="83" spans="1:8" ht="15" customHeight="1">
      <c r="A83" s="684">
        <v>1</v>
      </c>
      <c r="B83" s="684">
        <v>10</v>
      </c>
      <c r="C83" s="684">
        <v>85</v>
      </c>
      <c r="D83" s="711" t="s">
        <v>1488</v>
      </c>
      <c r="E83" s="690" t="s">
        <v>1489</v>
      </c>
      <c r="F83" s="691" t="s">
        <v>1351</v>
      </c>
      <c r="G83" s="692" t="s">
        <v>1355</v>
      </c>
      <c r="H83" s="65"/>
    </row>
    <row r="84" spans="1:8" ht="15" customHeight="1">
      <c r="A84" s="684">
        <v>1</v>
      </c>
      <c r="B84" s="684">
        <v>10</v>
      </c>
      <c r="C84" s="684">
        <v>88</v>
      </c>
      <c r="D84" s="711" t="s">
        <v>1490</v>
      </c>
      <c r="E84" s="690" t="s">
        <v>1489</v>
      </c>
      <c r="F84" s="691" t="s">
        <v>1351</v>
      </c>
      <c r="G84" s="692" t="s">
        <v>1355</v>
      </c>
      <c r="H84" s="65"/>
    </row>
    <row r="85" spans="1:8" ht="15" customHeight="1">
      <c r="A85" s="684">
        <v>1</v>
      </c>
      <c r="B85" s="684">
        <v>10</v>
      </c>
      <c r="C85" s="684">
        <v>97</v>
      </c>
      <c r="D85" s="711" t="s">
        <v>1491</v>
      </c>
      <c r="E85" s="690" t="s">
        <v>1489</v>
      </c>
      <c r="F85" s="691" t="s">
        <v>1351</v>
      </c>
      <c r="G85" s="692" t="s">
        <v>1355</v>
      </c>
      <c r="H85" s="65"/>
    </row>
    <row r="86" spans="1:8" ht="15" customHeight="1">
      <c r="A86" s="684">
        <v>1</v>
      </c>
      <c r="B86" s="684">
        <v>10</v>
      </c>
      <c r="C86" s="684">
        <v>98</v>
      </c>
      <c r="D86" s="711" t="s">
        <v>1492</v>
      </c>
      <c r="E86" s="690" t="s">
        <v>1489</v>
      </c>
      <c r="F86" s="691" t="s">
        <v>1351</v>
      </c>
      <c r="G86" s="692" t="s">
        <v>1355</v>
      </c>
      <c r="H86" s="65"/>
    </row>
    <row r="87" spans="1:8" ht="15" customHeight="1">
      <c r="A87" s="684">
        <v>1</v>
      </c>
      <c r="B87" s="684">
        <v>10</v>
      </c>
      <c r="C87" s="684">
        <v>130</v>
      </c>
      <c r="D87" s="711" t="s">
        <v>1493</v>
      </c>
      <c r="E87" s="690" t="s">
        <v>1489</v>
      </c>
      <c r="F87" s="691" t="s">
        <v>1351</v>
      </c>
      <c r="G87" s="692" t="s">
        <v>1355</v>
      </c>
      <c r="H87" s="65"/>
    </row>
    <row r="88" spans="1:8" ht="15" customHeight="1">
      <c r="A88" s="684">
        <v>1</v>
      </c>
      <c r="B88" s="684">
        <v>10</v>
      </c>
      <c r="C88" s="684">
        <v>131</v>
      </c>
      <c r="D88" s="711" t="s">
        <v>1494</v>
      </c>
      <c r="E88" s="690" t="s">
        <v>1489</v>
      </c>
      <c r="F88" s="691" t="s">
        <v>1351</v>
      </c>
      <c r="G88" s="692" t="s">
        <v>1355</v>
      </c>
      <c r="H88" s="65"/>
    </row>
    <row r="89" spans="1:8" ht="15" customHeight="1">
      <c r="A89" s="684">
        <v>1</v>
      </c>
      <c r="B89" s="684">
        <v>10</v>
      </c>
      <c r="C89" s="684">
        <v>132</v>
      </c>
      <c r="D89" s="711" t="s">
        <v>1495</v>
      </c>
      <c r="E89" s="690" t="s">
        <v>1489</v>
      </c>
      <c r="F89" s="691" t="s">
        <v>1351</v>
      </c>
      <c r="G89" s="692" t="s">
        <v>1355</v>
      </c>
      <c r="H89" s="65"/>
    </row>
    <row r="90" spans="1:8" ht="15" customHeight="1">
      <c r="A90" s="684">
        <v>1</v>
      </c>
      <c r="B90" s="684">
        <v>10</v>
      </c>
      <c r="C90" s="684">
        <v>133</v>
      </c>
      <c r="D90" s="711" t="s">
        <v>1496</v>
      </c>
      <c r="E90" s="690" t="s">
        <v>1489</v>
      </c>
      <c r="F90" s="708"/>
      <c r="G90" s="709"/>
      <c r="H90" s="65"/>
    </row>
    <row r="91" spans="1:8" ht="12.75">
      <c r="A91" s="684">
        <v>1</v>
      </c>
      <c r="B91" s="684">
        <v>10</v>
      </c>
      <c r="C91" s="684">
        <v>99</v>
      </c>
      <c r="D91" s="686" t="s">
        <v>1497</v>
      </c>
      <c r="E91" s="687" t="s">
        <v>1498</v>
      </c>
      <c r="F91" s="688" t="s">
        <v>1351</v>
      </c>
      <c r="G91" s="689" t="s">
        <v>1352</v>
      </c>
      <c r="H91" s="65"/>
    </row>
    <row r="92" spans="1:8" ht="12.75">
      <c r="A92" s="684">
        <v>1</v>
      </c>
      <c r="B92" s="684">
        <v>10</v>
      </c>
      <c r="C92" s="684">
        <v>90</v>
      </c>
      <c r="D92" s="686" t="s">
        <v>261</v>
      </c>
      <c r="E92" s="687" t="s">
        <v>1499</v>
      </c>
      <c r="F92" s="688" t="s">
        <v>1351</v>
      </c>
      <c r="G92" s="689" t="s">
        <v>1352</v>
      </c>
      <c r="H92" s="65"/>
    </row>
    <row r="93" spans="1:8" ht="12.75">
      <c r="A93" s="684">
        <v>1</v>
      </c>
      <c r="B93" s="684">
        <v>10</v>
      </c>
      <c r="C93" s="684">
        <v>86</v>
      </c>
      <c r="D93" s="686" t="s">
        <v>1500</v>
      </c>
      <c r="E93" s="687" t="s">
        <v>1501</v>
      </c>
      <c r="F93" s="688" t="s">
        <v>1351</v>
      </c>
      <c r="G93" s="689" t="s">
        <v>1352</v>
      </c>
      <c r="H93" s="65"/>
    </row>
    <row r="94" spans="1:8" ht="12.75">
      <c r="A94" s="684">
        <v>1</v>
      </c>
      <c r="B94" s="684">
        <v>10</v>
      </c>
      <c r="C94" s="684">
        <v>87</v>
      </c>
      <c r="D94" s="686" t="s">
        <v>1502</v>
      </c>
      <c r="E94" s="687" t="s">
        <v>1503</v>
      </c>
      <c r="F94" s="688" t="s">
        <v>1351</v>
      </c>
      <c r="G94" s="689" t="s">
        <v>1352</v>
      </c>
      <c r="H94" s="65"/>
    </row>
    <row r="95" spans="1:8" ht="12.75">
      <c r="A95" s="684">
        <v>1</v>
      </c>
      <c r="B95" s="684">
        <v>10</v>
      </c>
      <c r="C95" s="684">
        <v>91</v>
      </c>
      <c r="D95" s="686" t="s">
        <v>1504</v>
      </c>
      <c r="E95" s="687" t="s">
        <v>1505</v>
      </c>
      <c r="F95" s="688" t="s">
        <v>1351</v>
      </c>
      <c r="G95" s="689" t="s">
        <v>1352</v>
      </c>
      <c r="H95" s="65"/>
    </row>
    <row r="96" spans="1:8" ht="12.75">
      <c r="A96" s="684">
        <v>1</v>
      </c>
      <c r="B96" s="684">
        <v>10</v>
      </c>
      <c r="C96" s="684">
        <v>92</v>
      </c>
      <c r="D96" s="686" t="s">
        <v>1506</v>
      </c>
      <c r="E96" s="687" t="s">
        <v>1507</v>
      </c>
      <c r="F96" s="688" t="s">
        <v>1351</v>
      </c>
      <c r="G96" s="689" t="s">
        <v>1352</v>
      </c>
      <c r="H96" s="65"/>
    </row>
    <row r="97" spans="1:8" ht="12.75">
      <c r="A97" s="684">
        <v>1</v>
      </c>
      <c r="B97" s="684">
        <v>10</v>
      </c>
      <c r="C97" s="684">
        <v>93</v>
      </c>
      <c r="D97" s="686" t="s">
        <v>1508</v>
      </c>
      <c r="E97" s="687" t="s">
        <v>1509</v>
      </c>
      <c r="F97" s="688" t="s">
        <v>1351</v>
      </c>
      <c r="G97" s="689" t="s">
        <v>1352</v>
      </c>
      <c r="H97" s="65"/>
    </row>
    <row r="98" spans="1:8" ht="12.75">
      <c r="A98" s="684">
        <v>1</v>
      </c>
      <c r="B98" s="684">
        <v>10</v>
      </c>
      <c r="C98" s="684">
        <v>94</v>
      </c>
      <c r="D98" s="686" t="s">
        <v>1510</v>
      </c>
      <c r="E98" s="687" t="s">
        <v>1511</v>
      </c>
      <c r="F98" s="688" t="s">
        <v>1351</v>
      </c>
      <c r="G98" s="689" t="s">
        <v>1352</v>
      </c>
      <c r="H98" s="65"/>
    </row>
    <row r="99" spans="1:8" ht="12.75">
      <c r="A99" s="684">
        <v>1</v>
      </c>
      <c r="B99" s="684">
        <v>10</v>
      </c>
      <c r="C99" s="684">
        <v>95</v>
      </c>
      <c r="D99" s="686" t="s">
        <v>1512</v>
      </c>
      <c r="E99" s="687" t="s">
        <v>1513</v>
      </c>
      <c r="F99" s="688" t="s">
        <v>1351</v>
      </c>
      <c r="G99" s="689" t="s">
        <v>1352</v>
      </c>
      <c r="H99" s="65"/>
    </row>
    <row r="100" spans="1:8" ht="12.75">
      <c r="A100" s="693">
        <v>1</v>
      </c>
      <c r="B100" s="684">
        <v>10</v>
      </c>
      <c r="C100" s="684">
        <v>96</v>
      </c>
      <c r="D100" s="686" t="s">
        <v>1514</v>
      </c>
      <c r="E100" s="687" t="s">
        <v>1515</v>
      </c>
      <c r="F100" s="688" t="s">
        <v>1351</v>
      </c>
      <c r="G100" s="689" t="s">
        <v>1352</v>
      </c>
      <c r="H100" s="65"/>
    </row>
    <row r="101" ht="12.75">
      <c r="H101" s="65"/>
    </row>
  </sheetData>
  <autoFilter ref="A1:Y100"/>
  <printOptions/>
  <pageMargins left="0.31496062992125984" right="0.07874015748031496" top="0.35433070866141736" bottom="0.35433070866141736" header="0.31496062992125984" footer="0.11811023622047245"/>
  <pageSetup fitToHeight="50" horizontalDpi="600" verticalDpi="600" orientation="portrait" paperSize="9" scale="66" r:id="rId1"/>
  <headerFooter>
    <oddHeader>&amp;C&amp;F
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AY128"/>
  <sheetViews>
    <sheetView workbookViewId="0" topLeftCell="A1">
      <selection activeCell="C4" sqref="C4"/>
    </sheetView>
  </sheetViews>
  <sheetFormatPr defaultColWidth="9.140625" defaultRowHeight="12.75"/>
  <cols>
    <col min="1" max="2" width="9.421875" style="280" customWidth="1"/>
    <col min="3" max="3" width="14.00390625" style="285" customWidth="1"/>
    <col min="4" max="4" width="74.57421875" style="274" customWidth="1"/>
    <col min="5" max="5" width="20.00390625" style="274" customWidth="1"/>
    <col min="6" max="6" width="7.00390625" style="274" bestFit="1" customWidth="1"/>
    <col min="7" max="7" width="5.421875" style="274" bestFit="1" customWidth="1"/>
    <col min="8" max="15" width="6.421875" style="273" customWidth="1"/>
    <col min="16" max="46" width="6.421875" style="274" customWidth="1"/>
    <col min="47" max="254" width="9.140625" style="274" customWidth="1"/>
    <col min="255" max="255" width="7.00390625" style="274" bestFit="1" customWidth="1"/>
    <col min="256" max="256" width="5.421875" style="274" bestFit="1" customWidth="1"/>
    <col min="257" max="257" width="74.57421875" style="274" customWidth="1"/>
    <col min="258" max="258" width="23.7109375" style="274" customWidth="1"/>
    <col min="259" max="260" width="9.421875" style="274" customWidth="1"/>
    <col min="261" max="261" width="14.00390625" style="274" customWidth="1"/>
    <col min="262" max="262" width="7.7109375" style="274" customWidth="1"/>
    <col min="263" max="302" width="6.421875" style="274" customWidth="1"/>
    <col min="303" max="510" width="9.140625" style="274" customWidth="1"/>
    <col min="511" max="511" width="7.00390625" style="274" bestFit="1" customWidth="1"/>
    <col min="512" max="512" width="5.421875" style="274" bestFit="1" customWidth="1"/>
    <col min="513" max="513" width="74.57421875" style="274" customWidth="1"/>
    <col min="514" max="514" width="23.7109375" style="274" customWidth="1"/>
    <col min="515" max="516" width="9.421875" style="274" customWidth="1"/>
    <col min="517" max="517" width="14.00390625" style="274" customWidth="1"/>
    <col min="518" max="518" width="7.7109375" style="274" customWidth="1"/>
    <col min="519" max="558" width="6.421875" style="274" customWidth="1"/>
    <col min="559" max="766" width="9.140625" style="274" customWidth="1"/>
    <col min="767" max="767" width="7.00390625" style="274" bestFit="1" customWidth="1"/>
    <col min="768" max="768" width="5.421875" style="274" bestFit="1" customWidth="1"/>
    <col min="769" max="769" width="74.57421875" style="274" customWidth="1"/>
    <col min="770" max="770" width="23.7109375" style="274" customWidth="1"/>
    <col min="771" max="772" width="9.421875" style="274" customWidth="1"/>
    <col min="773" max="773" width="14.00390625" style="274" customWidth="1"/>
    <col min="774" max="774" width="7.7109375" style="274" customWidth="1"/>
    <col min="775" max="814" width="6.421875" style="274" customWidth="1"/>
    <col min="815" max="1022" width="9.140625" style="274" customWidth="1"/>
    <col min="1023" max="1023" width="7.00390625" style="274" bestFit="1" customWidth="1"/>
    <col min="1024" max="1024" width="5.421875" style="274" bestFit="1" customWidth="1"/>
    <col min="1025" max="1025" width="74.57421875" style="274" customWidth="1"/>
    <col min="1026" max="1026" width="23.7109375" style="274" customWidth="1"/>
    <col min="1027" max="1028" width="9.421875" style="274" customWidth="1"/>
    <col min="1029" max="1029" width="14.00390625" style="274" customWidth="1"/>
    <col min="1030" max="1030" width="7.7109375" style="274" customWidth="1"/>
    <col min="1031" max="1070" width="6.421875" style="274" customWidth="1"/>
    <col min="1071" max="1278" width="9.140625" style="274" customWidth="1"/>
    <col min="1279" max="1279" width="7.00390625" style="274" bestFit="1" customWidth="1"/>
    <col min="1280" max="1280" width="5.421875" style="274" bestFit="1" customWidth="1"/>
    <col min="1281" max="1281" width="74.57421875" style="274" customWidth="1"/>
    <col min="1282" max="1282" width="23.7109375" style="274" customWidth="1"/>
    <col min="1283" max="1284" width="9.421875" style="274" customWidth="1"/>
    <col min="1285" max="1285" width="14.00390625" style="274" customWidth="1"/>
    <col min="1286" max="1286" width="7.7109375" style="274" customWidth="1"/>
    <col min="1287" max="1326" width="6.421875" style="274" customWidth="1"/>
    <col min="1327" max="1534" width="9.140625" style="274" customWidth="1"/>
    <col min="1535" max="1535" width="7.00390625" style="274" bestFit="1" customWidth="1"/>
    <col min="1536" max="1536" width="5.421875" style="274" bestFit="1" customWidth="1"/>
    <col min="1537" max="1537" width="74.57421875" style="274" customWidth="1"/>
    <col min="1538" max="1538" width="23.7109375" style="274" customWidth="1"/>
    <col min="1539" max="1540" width="9.421875" style="274" customWidth="1"/>
    <col min="1541" max="1541" width="14.00390625" style="274" customWidth="1"/>
    <col min="1542" max="1542" width="7.7109375" style="274" customWidth="1"/>
    <col min="1543" max="1582" width="6.421875" style="274" customWidth="1"/>
    <col min="1583" max="1790" width="9.140625" style="274" customWidth="1"/>
    <col min="1791" max="1791" width="7.00390625" style="274" bestFit="1" customWidth="1"/>
    <col min="1792" max="1792" width="5.421875" style="274" bestFit="1" customWidth="1"/>
    <col min="1793" max="1793" width="74.57421875" style="274" customWidth="1"/>
    <col min="1794" max="1794" width="23.7109375" style="274" customWidth="1"/>
    <col min="1795" max="1796" width="9.421875" style="274" customWidth="1"/>
    <col min="1797" max="1797" width="14.00390625" style="274" customWidth="1"/>
    <col min="1798" max="1798" width="7.7109375" style="274" customWidth="1"/>
    <col min="1799" max="1838" width="6.421875" style="274" customWidth="1"/>
    <col min="1839" max="2046" width="9.140625" style="274" customWidth="1"/>
    <col min="2047" max="2047" width="7.00390625" style="274" bestFit="1" customWidth="1"/>
    <col min="2048" max="2048" width="5.421875" style="274" bestFit="1" customWidth="1"/>
    <col min="2049" max="2049" width="74.57421875" style="274" customWidth="1"/>
    <col min="2050" max="2050" width="23.7109375" style="274" customWidth="1"/>
    <col min="2051" max="2052" width="9.421875" style="274" customWidth="1"/>
    <col min="2053" max="2053" width="14.00390625" style="274" customWidth="1"/>
    <col min="2054" max="2054" width="7.7109375" style="274" customWidth="1"/>
    <col min="2055" max="2094" width="6.421875" style="274" customWidth="1"/>
    <col min="2095" max="2302" width="9.140625" style="274" customWidth="1"/>
    <col min="2303" max="2303" width="7.00390625" style="274" bestFit="1" customWidth="1"/>
    <col min="2304" max="2304" width="5.421875" style="274" bestFit="1" customWidth="1"/>
    <col min="2305" max="2305" width="74.57421875" style="274" customWidth="1"/>
    <col min="2306" max="2306" width="23.7109375" style="274" customWidth="1"/>
    <col min="2307" max="2308" width="9.421875" style="274" customWidth="1"/>
    <col min="2309" max="2309" width="14.00390625" style="274" customWidth="1"/>
    <col min="2310" max="2310" width="7.7109375" style="274" customWidth="1"/>
    <col min="2311" max="2350" width="6.421875" style="274" customWidth="1"/>
    <col min="2351" max="2558" width="9.140625" style="274" customWidth="1"/>
    <col min="2559" max="2559" width="7.00390625" style="274" bestFit="1" customWidth="1"/>
    <col min="2560" max="2560" width="5.421875" style="274" bestFit="1" customWidth="1"/>
    <col min="2561" max="2561" width="74.57421875" style="274" customWidth="1"/>
    <col min="2562" max="2562" width="23.7109375" style="274" customWidth="1"/>
    <col min="2563" max="2564" width="9.421875" style="274" customWidth="1"/>
    <col min="2565" max="2565" width="14.00390625" style="274" customWidth="1"/>
    <col min="2566" max="2566" width="7.7109375" style="274" customWidth="1"/>
    <col min="2567" max="2606" width="6.421875" style="274" customWidth="1"/>
    <col min="2607" max="2814" width="9.140625" style="274" customWidth="1"/>
    <col min="2815" max="2815" width="7.00390625" style="274" bestFit="1" customWidth="1"/>
    <col min="2816" max="2816" width="5.421875" style="274" bestFit="1" customWidth="1"/>
    <col min="2817" max="2817" width="74.57421875" style="274" customWidth="1"/>
    <col min="2818" max="2818" width="23.7109375" style="274" customWidth="1"/>
    <col min="2819" max="2820" width="9.421875" style="274" customWidth="1"/>
    <col min="2821" max="2821" width="14.00390625" style="274" customWidth="1"/>
    <col min="2822" max="2822" width="7.7109375" style="274" customWidth="1"/>
    <col min="2823" max="2862" width="6.421875" style="274" customWidth="1"/>
    <col min="2863" max="3070" width="9.140625" style="274" customWidth="1"/>
    <col min="3071" max="3071" width="7.00390625" style="274" bestFit="1" customWidth="1"/>
    <col min="3072" max="3072" width="5.421875" style="274" bestFit="1" customWidth="1"/>
    <col min="3073" max="3073" width="74.57421875" style="274" customWidth="1"/>
    <col min="3074" max="3074" width="23.7109375" style="274" customWidth="1"/>
    <col min="3075" max="3076" width="9.421875" style="274" customWidth="1"/>
    <col min="3077" max="3077" width="14.00390625" style="274" customWidth="1"/>
    <col min="3078" max="3078" width="7.7109375" style="274" customWidth="1"/>
    <col min="3079" max="3118" width="6.421875" style="274" customWidth="1"/>
    <col min="3119" max="3326" width="9.140625" style="274" customWidth="1"/>
    <col min="3327" max="3327" width="7.00390625" style="274" bestFit="1" customWidth="1"/>
    <col min="3328" max="3328" width="5.421875" style="274" bestFit="1" customWidth="1"/>
    <col min="3329" max="3329" width="74.57421875" style="274" customWidth="1"/>
    <col min="3330" max="3330" width="23.7109375" style="274" customWidth="1"/>
    <col min="3331" max="3332" width="9.421875" style="274" customWidth="1"/>
    <col min="3333" max="3333" width="14.00390625" style="274" customWidth="1"/>
    <col min="3334" max="3334" width="7.7109375" style="274" customWidth="1"/>
    <col min="3335" max="3374" width="6.421875" style="274" customWidth="1"/>
    <col min="3375" max="3582" width="9.140625" style="274" customWidth="1"/>
    <col min="3583" max="3583" width="7.00390625" style="274" bestFit="1" customWidth="1"/>
    <col min="3584" max="3584" width="5.421875" style="274" bestFit="1" customWidth="1"/>
    <col min="3585" max="3585" width="74.57421875" style="274" customWidth="1"/>
    <col min="3586" max="3586" width="23.7109375" style="274" customWidth="1"/>
    <col min="3587" max="3588" width="9.421875" style="274" customWidth="1"/>
    <col min="3589" max="3589" width="14.00390625" style="274" customWidth="1"/>
    <col min="3590" max="3590" width="7.7109375" style="274" customWidth="1"/>
    <col min="3591" max="3630" width="6.421875" style="274" customWidth="1"/>
    <col min="3631" max="3838" width="9.140625" style="274" customWidth="1"/>
    <col min="3839" max="3839" width="7.00390625" style="274" bestFit="1" customWidth="1"/>
    <col min="3840" max="3840" width="5.421875" style="274" bestFit="1" customWidth="1"/>
    <col min="3841" max="3841" width="74.57421875" style="274" customWidth="1"/>
    <col min="3842" max="3842" width="23.7109375" style="274" customWidth="1"/>
    <col min="3843" max="3844" width="9.421875" style="274" customWidth="1"/>
    <col min="3845" max="3845" width="14.00390625" style="274" customWidth="1"/>
    <col min="3846" max="3846" width="7.7109375" style="274" customWidth="1"/>
    <col min="3847" max="3886" width="6.421875" style="274" customWidth="1"/>
    <col min="3887" max="4094" width="9.140625" style="274" customWidth="1"/>
    <col min="4095" max="4095" width="7.00390625" style="274" bestFit="1" customWidth="1"/>
    <col min="4096" max="4096" width="5.421875" style="274" bestFit="1" customWidth="1"/>
    <col min="4097" max="4097" width="74.57421875" style="274" customWidth="1"/>
    <col min="4098" max="4098" width="23.7109375" style="274" customWidth="1"/>
    <col min="4099" max="4100" width="9.421875" style="274" customWidth="1"/>
    <col min="4101" max="4101" width="14.00390625" style="274" customWidth="1"/>
    <col min="4102" max="4102" width="7.7109375" style="274" customWidth="1"/>
    <col min="4103" max="4142" width="6.421875" style="274" customWidth="1"/>
    <col min="4143" max="4350" width="9.140625" style="274" customWidth="1"/>
    <col min="4351" max="4351" width="7.00390625" style="274" bestFit="1" customWidth="1"/>
    <col min="4352" max="4352" width="5.421875" style="274" bestFit="1" customWidth="1"/>
    <col min="4353" max="4353" width="74.57421875" style="274" customWidth="1"/>
    <col min="4354" max="4354" width="23.7109375" style="274" customWidth="1"/>
    <col min="4355" max="4356" width="9.421875" style="274" customWidth="1"/>
    <col min="4357" max="4357" width="14.00390625" style="274" customWidth="1"/>
    <col min="4358" max="4358" width="7.7109375" style="274" customWidth="1"/>
    <col min="4359" max="4398" width="6.421875" style="274" customWidth="1"/>
    <col min="4399" max="4606" width="9.140625" style="274" customWidth="1"/>
    <col min="4607" max="4607" width="7.00390625" style="274" bestFit="1" customWidth="1"/>
    <col min="4608" max="4608" width="5.421875" style="274" bestFit="1" customWidth="1"/>
    <col min="4609" max="4609" width="74.57421875" style="274" customWidth="1"/>
    <col min="4610" max="4610" width="23.7109375" style="274" customWidth="1"/>
    <col min="4611" max="4612" width="9.421875" style="274" customWidth="1"/>
    <col min="4613" max="4613" width="14.00390625" style="274" customWidth="1"/>
    <col min="4614" max="4614" width="7.7109375" style="274" customWidth="1"/>
    <col min="4615" max="4654" width="6.421875" style="274" customWidth="1"/>
    <col min="4655" max="4862" width="9.140625" style="274" customWidth="1"/>
    <col min="4863" max="4863" width="7.00390625" style="274" bestFit="1" customWidth="1"/>
    <col min="4864" max="4864" width="5.421875" style="274" bestFit="1" customWidth="1"/>
    <col min="4865" max="4865" width="74.57421875" style="274" customWidth="1"/>
    <col min="4866" max="4866" width="23.7109375" style="274" customWidth="1"/>
    <col min="4867" max="4868" width="9.421875" style="274" customWidth="1"/>
    <col min="4869" max="4869" width="14.00390625" style="274" customWidth="1"/>
    <col min="4870" max="4870" width="7.7109375" style="274" customWidth="1"/>
    <col min="4871" max="4910" width="6.421875" style="274" customWidth="1"/>
    <col min="4911" max="5118" width="9.140625" style="274" customWidth="1"/>
    <col min="5119" max="5119" width="7.00390625" style="274" bestFit="1" customWidth="1"/>
    <col min="5120" max="5120" width="5.421875" style="274" bestFit="1" customWidth="1"/>
    <col min="5121" max="5121" width="74.57421875" style="274" customWidth="1"/>
    <col min="5122" max="5122" width="23.7109375" style="274" customWidth="1"/>
    <col min="5123" max="5124" width="9.421875" style="274" customWidth="1"/>
    <col min="5125" max="5125" width="14.00390625" style="274" customWidth="1"/>
    <col min="5126" max="5126" width="7.7109375" style="274" customWidth="1"/>
    <col min="5127" max="5166" width="6.421875" style="274" customWidth="1"/>
    <col min="5167" max="5374" width="9.140625" style="274" customWidth="1"/>
    <col min="5375" max="5375" width="7.00390625" style="274" bestFit="1" customWidth="1"/>
    <col min="5376" max="5376" width="5.421875" style="274" bestFit="1" customWidth="1"/>
    <col min="5377" max="5377" width="74.57421875" style="274" customWidth="1"/>
    <col min="5378" max="5378" width="23.7109375" style="274" customWidth="1"/>
    <col min="5379" max="5380" width="9.421875" style="274" customWidth="1"/>
    <col min="5381" max="5381" width="14.00390625" style="274" customWidth="1"/>
    <col min="5382" max="5382" width="7.7109375" style="274" customWidth="1"/>
    <col min="5383" max="5422" width="6.421875" style="274" customWidth="1"/>
    <col min="5423" max="5630" width="9.140625" style="274" customWidth="1"/>
    <col min="5631" max="5631" width="7.00390625" style="274" bestFit="1" customWidth="1"/>
    <col min="5632" max="5632" width="5.421875" style="274" bestFit="1" customWidth="1"/>
    <col min="5633" max="5633" width="74.57421875" style="274" customWidth="1"/>
    <col min="5634" max="5634" width="23.7109375" style="274" customWidth="1"/>
    <col min="5635" max="5636" width="9.421875" style="274" customWidth="1"/>
    <col min="5637" max="5637" width="14.00390625" style="274" customWidth="1"/>
    <col min="5638" max="5638" width="7.7109375" style="274" customWidth="1"/>
    <col min="5639" max="5678" width="6.421875" style="274" customWidth="1"/>
    <col min="5679" max="5886" width="9.140625" style="274" customWidth="1"/>
    <col min="5887" max="5887" width="7.00390625" style="274" bestFit="1" customWidth="1"/>
    <col min="5888" max="5888" width="5.421875" style="274" bestFit="1" customWidth="1"/>
    <col min="5889" max="5889" width="74.57421875" style="274" customWidth="1"/>
    <col min="5890" max="5890" width="23.7109375" style="274" customWidth="1"/>
    <col min="5891" max="5892" width="9.421875" style="274" customWidth="1"/>
    <col min="5893" max="5893" width="14.00390625" style="274" customWidth="1"/>
    <col min="5894" max="5894" width="7.7109375" style="274" customWidth="1"/>
    <col min="5895" max="5934" width="6.421875" style="274" customWidth="1"/>
    <col min="5935" max="6142" width="9.140625" style="274" customWidth="1"/>
    <col min="6143" max="6143" width="7.00390625" style="274" bestFit="1" customWidth="1"/>
    <col min="6144" max="6144" width="5.421875" style="274" bestFit="1" customWidth="1"/>
    <col min="6145" max="6145" width="74.57421875" style="274" customWidth="1"/>
    <col min="6146" max="6146" width="23.7109375" style="274" customWidth="1"/>
    <col min="6147" max="6148" width="9.421875" style="274" customWidth="1"/>
    <col min="6149" max="6149" width="14.00390625" style="274" customWidth="1"/>
    <col min="6150" max="6150" width="7.7109375" style="274" customWidth="1"/>
    <col min="6151" max="6190" width="6.421875" style="274" customWidth="1"/>
    <col min="6191" max="6398" width="9.140625" style="274" customWidth="1"/>
    <col min="6399" max="6399" width="7.00390625" style="274" bestFit="1" customWidth="1"/>
    <col min="6400" max="6400" width="5.421875" style="274" bestFit="1" customWidth="1"/>
    <col min="6401" max="6401" width="74.57421875" style="274" customWidth="1"/>
    <col min="6402" max="6402" width="23.7109375" style="274" customWidth="1"/>
    <col min="6403" max="6404" width="9.421875" style="274" customWidth="1"/>
    <col min="6405" max="6405" width="14.00390625" style="274" customWidth="1"/>
    <col min="6406" max="6406" width="7.7109375" style="274" customWidth="1"/>
    <col min="6407" max="6446" width="6.421875" style="274" customWidth="1"/>
    <col min="6447" max="6654" width="9.140625" style="274" customWidth="1"/>
    <col min="6655" max="6655" width="7.00390625" style="274" bestFit="1" customWidth="1"/>
    <col min="6656" max="6656" width="5.421875" style="274" bestFit="1" customWidth="1"/>
    <col min="6657" max="6657" width="74.57421875" style="274" customWidth="1"/>
    <col min="6658" max="6658" width="23.7109375" style="274" customWidth="1"/>
    <col min="6659" max="6660" width="9.421875" style="274" customWidth="1"/>
    <col min="6661" max="6661" width="14.00390625" style="274" customWidth="1"/>
    <col min="6662" max="6662" width="7.7109375" style="274" customWidth="1"/>
    <col min="6663" max="6702" width="6.421875" style="274" customWidth="1"/>
    <col min="6703" max="6910" width="9.140625" style="274" customWidth="1"/>
    <col min="6911" max="6911" width="7.00390625" style="274" bestFit="1" customWidth="1"/>
    <col min="6912" max="6912" width="5.421875" style="274" bestFit="1" customWidth="1"/>
    <col min="6913" max="6913" width="74.57421875" style="274" customWidth="1"/>
    <col min="6914" max="6914" width="23.7109375" style="274" customWidth="1"/>
    <col min="6915" max="6916" width="9.421875" style="274" customWidth="1"/>
    <col min="6917" max="6917" width="14.00390625" style="274" customWidth="1"/>
    <col min="6918" max="6918" width="7.7109375" style="274" customWidth="1"/>
    <col min="6919" max="6958" width="6.421875" style="274" customWidth="1"/>
    <col min="6959" max="7166" width="9.140625" style="274" customWidth="1"/>
    <col min="7167" max="7167" width="7.00390625" style="274" bestFit="1" customWidth="1"/>
    <col min="7168" max="7168" width="5.421875" style="274" bestFit="1" customWidth="1"/>
    <col min="7169" max="7169" width="74.57421875" style="274" customWidth="1"/>
    <col min="7170" max="7170" width="23.7109375" style="274" customWidth="1"/>
    <col min="7171" max="7172" width="9.421875" style="274" customWidth="1"/>
    <col min="7173" max="7173" width="14.00390625" style="274" customWidth="1"/>
    <col min="7174" max="7174" width="7.7109375" style="274" customWidth="1"/>
    <col min="7175" max="7214" width="6.421875" style="274" customWidth="1"/>
    <col min="7215" max="7422" width="9.140625" style="274" customWidth="1"/>
    <col min="7423" max="7423" width="7.00390625" style="274" bestFit="1" customWidth="1"/>
    <col min="7424" max="7424" width="5.421875" style="274" bestFit="1" customWidth="1"/>
    <col min="7425" max="7425" width="74.57421875" style="274" customWidth="1"/>
    <col min="7426" max="7426" width="23.7109375" style="274" customWidth="1"/>
    <col min="7427" max="7428" width="9.421875" style="274" customWidth="1"/>
    <col min="7429" max="7429" width="14.00390625" style="274" customWidth="1"/>
    <col min="7430" max="7430" width="7.7109375" style="274" customWidth="1"/>
    <col min="7431" max="7470" width="6.421875" style="274" customWidth="1"/>
    <col min="7471" max="7678" width="9.140625" style="274" customWidth="1"/>
    <col min="7679" max="7679" width="7.00390625" style="274" bestFit="1" customWidth="1"/>
    <col min="7680" max="7680" width="5.421875" style="274" bestFit="1" customWidth="1"/>
    <col min="7681" max="7681" width="74.57421875" style="274" customWidth="1"/>
    <col min="7682" max="7682" width="23.7109375" style="274" customWidth="1"/>
    <col min="7683" max="7684" width="9.421875" style="274" customWidth="1"/>
    <col min="7685" max="7685" width="14.00390625" style="274" customWidth="1"/>
    <col min="7686" max="7686" width="7.7109375" style="274" customWidth="1"/>
    <col min="7687" max="7726" width="6.421875" style="274" customWidth="1"/>
    <col min="7727" max="7934" width="9.140625" style="274" customWidth="1"/>
    <col min="7935" max="7935" width="7.00390625" style="274" bestFit="1" customWidth="1"/>
    <col min="7936" max="7936" width="5.421875" style="274" bestFit="1" customWidth="1"/>
    <col min="7937" max="7937" width="74.57421875" style="274" customWidth="1"/>
    <col min="7938" max="7938" width="23.7109375" style="274" customWidth="1"/>
    <col min="7939" max="7940" width="9.421875" style="274" customWidth="1"/>
    <col min="7941" max="7941" width="14.00390625" style="274" customWidth="1"/>
    <col min="7942" max="7942" width="7.7109375" style="274" customWidth="1"/>
    <col min="7943" max="7982" width="6.421875" style="274" customWidth="1"/>
    <col min="7983" max="8190" width="9.140625" style="274" customWidth="1"/>
    <col min="8191" max="8191" width="7.00390625" style="274" bestFit="1" customWidth="1"/>
    <col min="8192" max="8192" width="5.421875" style="274" bestFit="1" customWidth="1"/>
    <col min="8193" max="8193" width="74.57421875" style="274" customWidth="1"/>
    <col min="8194" max="8194" width="23.7109375" style="274" customWidth="1"/>
    <col min="8195" max="8196" width="9.421875" style="274" customWidth="1"/>
    <col min="8197" max="8197" width="14.00390625" style="274" customWidth="1"/>
    <col min="8198" max="8198" width="7.7109375" style="274" customWidth="1"/>
    <col min="8199" max="8238" width="6.421875" style="274" customWidth="1"/>
    <col min="8239" max="8446" width="9.140625" style="274" customWidth="1"/>
    <col min="8447" max="8447" width="7.00390625" style="274" bestFit="1" customWidth="1"/>
    <col min="8448" max="8448" width="5.421875" style="274" bestFit="1" customWidth="1"/>
    <col min="8449" max="8449" width="74.57421875" style="274" customWidth="1"/>
    <col min="8450" max="8450" width="23.7109375" style="274" customWidth="1"/>
    <col min="8451" max="8452" width="9.421875" style="274" customWidth="1"/>
    <col min="8453" max="8453" width="14.00390625" style="274" customWidth="1"/>
    <col min="8454" max="8454" width="7.7109375" style="274" customWidth="1"/>
    <col min="8455" max="8494" width="6.421875" style="274" customWidth="1"/>
    <col min="8495" max="8702" width="9.140625" style="274" customWidth="1"/>
    <col min="8703" max="8703" width="7.00390625" style="274" bestFit="1" customWidth="1"/>
    <col min="8704" max="8704" width="5.421875" style="274" bestFit="1" customWidth="1"/>
    <col min="8705" max="8705" width="74.57421875" style="274" customWidth="1"/>
    <col min="8706" max="8706" width="23.7109375" style="274" customWidth="1"/>
    <col min="8707" max="8708" width="9.421875" style="274" customWidth="1"/>
    <col min="8709" max="8709" width="14.00390625" style="274" customWidth="1"/>
    <col min="8710" max="8710" width="7.7109375" style="274" customWidth="1"/>
    <col min="8711" max="8750" width="6.421875" style="274" customWidth="1"/>
    <col min="8751" max="8958" width="9.140625" style="274" customWidth="1"/>
    <col min="8959" max="8959" width="7.00390625" style="274" bestFit="1" customWidth="1"/>
    <col min="8960" max="8960" width="5.421875" style="274" bestFit="1" customWidth="1"/>
    <col min="8961" max="8961" width="74.57421875" style="274" customWidth="1"/>
    <col min="8962" max="8962" width="23.7109375" style="274" customWidth="1"/>
    <col min="8963" max="8964" width="9.421875" style="274" customWidth="1"/>
    <col min="8965" max="8965" width="14.00390625" style="274" customWidth="1"/>
    <col min="8966" max="8966" width="7.7109375" style="274" customWidth="1"/>
    <col min="8967" max="9006" width="6.421875" style="274" customWidth="1"/>
    <col min="9007" max="9214" width="9.140625" style="274" customWidth="1"/>
    <col min="9215" max="9215" width="7.00390625" style="274" bestFit="1" customWidth="1"/>
    <col min="9216" max="9216" width="5.421875" style="274" bestFit="1" customWidth="1"/>
    <col min="9217" max="9217" width="74.57421875" style="274" customWidth="1"/>
    <col min="9218" max="9218" width="23.7109375" style="274" customWidth="1"/>
    <col min="9219" max="9220" width="9.421875" style="274" customWidth="1"/>
    <col min="9221" max="9221" width="14.00390625" style="274" customWidth="1"/>
    <col min="9222" max="9222" width="7.7109375" style="274" customWidth="1"/>
    <col min="9223" max="9262" width="6.421875" style="274" customWidth="1"/>
    <col min="9263" max="9470" width="9.140625" style="274" customWidth="1"/>
    <col min="9471" max="9471" width="7.00390625" style="274" bestFit="1" customWidth="1"/>
    <col min="9472" max="9472" width="5.421875" style="274" bestFit="1" customWidth="1"/>
    <col min="9473" max="9473" width="74.57421875" style="274" customWidth="1"/>
    <col min="9474" max="9474" width="23.7109375" style="274" customWidth="1"/>
    <col min="9475" max="9476" width="9.421875" style="274" customWidth="1"/>
    <col min="9477" max="9477" width="14.00390625" style="274" customWidth="1"/>
    <col min="9478" max="9478" width="7.7109375" style="274" customWidth="1"/>
    <col min="9479" max="9518" width="6.421875" style="274" customWidth="1"/>
    <col min="9519" max="9726" width="9.140625" style="274" customWidth="1"/>
    <col min="9727" max="9727" width="7.00390625" style="274" bestFit="1" customWidth="1"/>
    <col min="9728" max="9728" width="5.421875" style="274" bestFit="1" customWidth="1"/>
    <col min="9729" max="9729" width="74.57421875" style="274" customWidth="1"/>
    <col min="9730" max="9730" width="23.7109375" style="274" customWidth="1"/>
    <col min="9731" max="9732" width="9.421875" style="274" customWidth="1"/>
    <col min="9733" max="9733" width="14.00390625" style="274" customWidth="1"/>
    <col min="9734" max="9734" width="7.7109375" style="274" customWidth="1"/>
    <col min="9735" max="9774" width="6.421875" style="274" customWidth="1"/>
    <col min="9775" max="9982" width="9.140625" style="274" customWidth="1"/>
    <col min="9983" max="9983" width="7.00390625" style="274" bestFit="1" customWidth="1"/>
    <col min="9984" max="9984" width="5.421875" style="274" bestFit="1" customWidth="1"/>
    <col min="9985" max="9985" width="74.57421875" style="274" customWidth="1"/>
    <col min="9986" max="9986" width="23.7109375" style="274" customWidth="1"/>
    <col min="9987" max="9988" width="9.421875" style="274" customWidth="1"/>
    <col min="9989" max="9989" width="14.00390625" style="274" customWidth="1"/>
    <col min="9990" max="9990" width="7.7109375" style="274" customWidth="1"/>
    <col min="9991" max="10030" width="6.421875" style="274" customWidth="1"/>
    <col min="10031" max="10238" width="9.140625" style="274" customWidth="1"/>
    <col min="10239" max="10239" width="7.00390625" style="274" bestFit="1" customWidth="1"/>
    <col min="10240" max="10240" width="5.421875" style="274" bestFit="1" customWidth="1"/>
    <col min="10241" max="10241" width="74.57421875" style="274" customWidth="1"/>
    <col min="10242" max="10242" width="23.7109375" style="274" customWidth="1"/>
    <col min="10243" max="10244" width="9.421875" style="274" customWidth="1"/>
    <col min="10245" max="10245" width="14.00390625" style="274" customWidth="1"/>
    <col min="10246" max="10246" width="7.7109375" style="274" customWidth="1"/>
    <col min="10247" max="10286" width="6.421875" style="274" customWidth="1"/>
    <col min="10287" max="10494" width="9.140625" style="274" customWidth="1"/>
    <col min="10495" max="10495" width="7.00390625" style="274" bestFit="1" customWidth="1"/>
    <col min="10496" max="10496" width="5.421875" style="274" bestFit="1" customWidth="1"/>
    <col min="10497" max="10497" width="74.57421875" style="274" customWidth="1"/>
    <col min="10498" max="10498" width="23.7109375" style="274" customWidth="1"/>
    <col min="10499" max="10500" width="9.421875" style="274" customWidth="1"/>
    <col min="10501" max="10501" width="14.00390625" style="274" customWidth="1"/>
    <col min="10502" max="10502" width="7.7109375" style="274" customWidth="1"/>
    <col min="10503" max="10542" width="6.421875" style="274" customWidth="1"/>
    <col min="10543" max="10750" width="9.140625" style="274" customWidth="1"/>
    <col min="10751" max="10751" width="7.00390625" style="274" bestFit="1" customWidth="1"/>
    <col min="10752" max="10752" width="5.421875" style="274" bestFit="1" customWidth="1"/>
    <col min="10753" max="10753" width="74.57421875" style="274" customWidth="1"/>
    <col min="10754" max="10754" width="23.7109375" style="274" customWidth="1"/>
    <col min="10755" max="10756" width="9.421875" style="274" customWidth="1"/>
    <col min="10757" max="10757" width="14.00390625" style="274" customWidth="1"/>
    <col min="10758" max="10758" width="7.7109375" style="274" customWidth="1"/>
    <col min="10759" max="10798" width="6.421875" style="274" customWidth="1"/>
    <col min="10799" max="11006" width="9.140625" style="274" customWidth="1"/>
    <col min="11007" max="11007" width="7.00390625" style="274" bestFit="1" customWidth="1"/>
    <col min="11008" max="11008" width="5.421875" style="274" bestFit="1" customWidth="1"/>
    <col min="11009" max="11009" width="74.57421875" style="274" customWidth="1"/>
    <col min="11010" max="11010" width="23.7109375" style="274" customWidth="1"/>
    <col min="11011" max="11012" width="9.421875" style="274" customWidth="1"/>
    <col min="11013" max="11013" width="14.00390625" style="274" customWidth="1"/>
    <col min="11014" max="11014" width="7.7109375" style="274" customWidth="1"/>
    <col min="11015" max="11054" width="6.421875" style="274" customWidth="1"/>
    <col min="11055" max="11262" width="9.140625" style="274" customWidth="1"/>
    <col min="11263" max="11263" width="7.00390625" style="274" bestFit="1" customWidth="1"/>
    <col min="11264" max="11264" width="5.421875" style="274" bestFit="1" customWidth="1"/>
    <col min="11265" max="11265" width="74.57421875" style="274" customWidth="1"/>
    <col min="11266" max="11266" width="23.7109375" style="274" customWidth="1"/>
    <col min="11267" max="11268" width="9.421875" style="274" customWidth="1"/>
    <col min="11269" max="11269" width="14.00390625" style="274" customWidth="1"/>
    <col min="11270" max="11270" width="7.7109375" style="274" customWidth="1"/>
    <col min="11271" max="11310" width="6.421875" style="274" customWidth="1"/>
    <col min="11311" max="11518" width="9.140625" style="274" customWidth="1"/>
    <col min="11519" max="11519" width="7.00390625" style="274" bestFit="1" customWidth="1"/>
    <col min="11520" max="11520" width="5.421875" style="274" bestFit="1" customWidth="1"/>
    <col min="11521" max="11521" width="74.57421875" style="274" customWidth="1"/>
    <col min="11522" max="11522" width="23.7109375" style="274" customWidth="1"/>
    <col min="11523" max="11524" width="9.421875" style="274" customWidth="1"/>
    <col min="11525" max="11525" width="14.00390625" style="274" customWidth="1"/>
    <col min="11526" max="11526" width="7.7109375" style="274" customWidth="1"/>
    <col min="11527" max="11566" width="6.421875" style="274" customWidth="1"/>
    <col min="11567" max="11774" width="9.140625" style="274" customWidth="1"/>
    <col min="11775" max="11775" width="7.00390625" style="274" bestFit="1" customWidth="1"/>
    <col min="11776" max="11776" width="5.421875" style="274" bestFit="1" customWidth="1"/>
    <col min="11777" max="11777" width="74.57421875" style="274" customWidth="1"/>
    <col min="11778" max="11778" width="23.7109375" style="274" customWidth="1"/>
    <col min="11779" max="11780" width="9.421875" style="274" customWidth="1"/>
    <col min="11781" max="11781" width="14.00390625" style="274" customWidth="1"/>
    <col min="11782" max="11782" width="7.7109375" style="274" customWidth="1"/>
    <col min="11783" max="11822" width="6.421875" style="274" customWidth="1"/>
    <col min="11823" max="12030" width="9.140625" style="274" customWidth="1"/>
    <col min="12031" max="12031" width="7.00390625" style="274" bestFit="1" customWidth="1"/>
    <col min="12032" max="12032" width="5.421875" style="274" bestFit="1" customWidth="1"/>
    <col min="12033" max="12033" width="74.57421875" style="274" customWidth="1"/>
    <col min="12034" max="12034" width="23.7109375" style="274" customWidth="1"/>
    <col min="12035" max="12036" width="9.421875" style="274" customWidth="1"/>
    <col min="12037" max="12037" width="14.00390625" style="274" customWidth="1"/>
    <col min="12038" max="12038" width="7.7109375" style="274" customWidth="1"/>
    <col min="12039" max="12078" width="6.421875" style="274" customWidth="1"/>
    <col min="12079" max="12286" width="9.140625" style="274" customWidth="1"/>
    <col min="12287" max="12287" width="7.00390625" style="274" bestFit="1" customWidth="1"/>
    <col min="12288" max="12288" width="5.421875" style="274" bestFit="1" customWidth="1"/>
    <col min="12289" max="12289" width="74.57421875" style="274" customWidth="1"/>
    <col min="12290" max="12290" width="23.7109375" style="274" customWidth="1"/>
    <col min="12291" max="12292" width="9.421875" style="274" customWidth="1"/>
    <col min="12293" max="12293" width="14.00390625" style="274" customWidth="1"/>
    <col min="12294" max="12294" width="7.7109375" style="274" customWidth="1"/>
    <col min="12295" max="12334" width="6.421875" style="274" customWidth="1"/>
    <col min="12335" max="12542" width="9.140625" style="274" customWidth="1"/>
    <col min="12543" max="12543" width="7.00390625" style="274" bestFit="1" customWidth="1"/>
    <col min="12544" max="12544" width="5.421875" style="274" bestFit="1" customWidth="1"/>
    <col min="12545" max="12545" width="74.57421875" style="274" customWidth="1"/>
    <col min="12546" max="12546" width="23.7109375" style="274" customWidth="1"/>
    <col min="12547" max="12548" width="9.421875" style="274" customWidth="1"/>
    <col min="12549" max="12549" width="14.00390625" style="274" customWidth="1"/>
    <col min="12550" max="12550" width="7.7109375" style="274" customWidth="1"/>
    <col min="12551" max="12590" width="6.421875" style="274" customWidth="1"/>
    <col min="12591" max="12798" width="9.140625" style="274" customWidth="1"/>
    <col min="12799" max="12799" width="7.00390625" style="274" bestFit="1" customWidth="1"/>
    <col min="12800" max="12800" width="5.421875" style="274" bestFit="1" customWidth="1"/>
    <col min="12801" max="12801" width="74.57421875" style="274" customWidth="1"/>
    <col min="12802" max="12802" width="23.7109375" style="274" customWidth="1"/>
    <col min="12803" max="12804" width="9.421875" style="274" customWidth="1"/>
    <col min="12805" max="12805" width="14.00390625" style="274" customWidth="1"/>
    <col min="12806" max="12806" width="7.7109375" style="274" customWidth="1"/>
    <col min="12807" max="12846" width="6.421875" style="274" customWidth="1"/>
    <col min="12847" max="13054" width="9.140625" style="274" customWidth="1"/>
    <col min="13055" max="13055" width="7.00390625" style="274" bestFit="1" customWidth="1"/>
    <col min="13056" max="13056" width="5.421875" style="274" bestFit="1" customWidth="1"/>
    <col min="13057" max="13057" width="74.57421875" style="274" customWidth="1"/>
    <col min="13058" max="13058" width="23.7109375" style="274" customWidth="1"/>
    <col min="13059" max="13060" width="9.421875" style="274" customWidth="1"/>
    <col min="13061" max="13061" width="14.00390625" style="274" customWidth="1"/>
    <col min="13062" max="13062" width="7.7109375" style="274" customWidth="1"/>
    <col min="13063" max="13102" width="6.421875" style="274" customWidth="1"/>
    <col min="13103" max="13310" width="9.140625" style="274" customWidth="1"/>
    <col min="13311" max="13311" width="7.00390625" style="274" bestFit="1" customWidth="1"/>
    <col min="13312" max="13312" width="5.421875" style="274" bestFit="1" customWidth="1"/>
    <col min="13313" max="13313" width="74.57421875" style="274" customWidth="1"/>
    <col min="13314" max="13314" width="23.7109375" style="274" customWidth="1"/>
    <col min="13315" max="13316" width="9.421875" style="274" customWidth="1"/>
    <col min="13317" max="13317" width="14.00390625" style="274" customWidth="1"/>
    <col min="13318" max="13318" width="7.7109375" style="274" customWidth="1"/>
    <col min="13319" max="13358" width="6.421875" style="274" customWidth="1"/>
    <col min="13359" max="13566" width="9.140625" style="274" customWidth="1"/>
    <col min="13567" max="13567" width="7.00390625" style="274" bestFit="1" customWidth="1"/>
    <col min="13568" max="13568" width="5.421875" style="274" bestFit="1" customWidth="1"/>
    <col min="13569" max="13569" width="74.57421875" style="274" customWidth="1"/>
    <col min="13570" max="13570" width="23.7109375" style="274" customWidth="1"/>
    <col min="13571" max="13572" width="9.421875" style="274" customWidth="1"/>
    <col min="13573" max="13573" width="14.00390625" style="274" customWidth="1"/>
    <col min="13574" max="13574" width="7.7109375" style="274" customWidth="1"/>
    <col min="13575" max="13614" width="6.421875" style="274" customWidth="1"/>
    <col min="13615" max="13822" width="9.140625" style="274" customWidth="1"/>
    <col min="13823" max="13823" width="7.00390625" style="274" bestFit="1" customWidth="1"/>
    <col min="13824" max="13824" width="5.421875" style="274" bestFit="1" customWidth="1"/>
    <col min="13825" max="13825" width="74.57421875" style="274" customWidth="1"/>
    <col min="13826" max="13826" width="23.7109375" style="274" customWidth="1"/>
    <col min="13827" max="13828" width="9.421875" style="274" customWidth="1"/>
    <col min="13829" max="13829" width="14.00390625" style="274" customWidth="1"/>
    <col min="13830" max="13830" width="7.7109375" style="274" customWidth="1"/>
    <col min="13831" max="13870" width="6.421875" style="274" customWidth="1"/>
    <col min="13871" max="14078" width="9.140625" style="274" customWidth="1"/>
    <col min="14079" max="14079" width="7.00390625" style="274" bestFit="1" customWidth="1"/>
    <col min="14080" max="14080" width="5.421875" style="274" bestFit="1" customWidth="1"/>
    <col min="14081" max="14081" width="74.57421875" style="274" customWidth="1"/>
    <col min="14082" max="14082" width="23.7109375" style="274" customWidth="1"/>
    <col min="14083" max="14084" width="9.421875" style="274" customWidth="1"/>
    <col min="14085" max="14085" width="14.00390625" style="274" customWidth="1"/>
    <col min="14086" max="14086" width="7.7109375" style="274" customWidth="1"/>
    <col min="14087" max="14126" width="6.421875" style="274" customWidth="1"/>
    <col min="14127" max="14334" width="9.140625" style="274" customWidth="1"/>
    <col min="14335" max="14335" width="7.00390625" style="274" bestFit="1" customWidth="1"/>
    <col min="14336" max="14336" width="5.421875" style="274" bestFit="1" customWidth="1"/>
    <col min="14337" max="14337" width="74.57421875" style="274" customWidth="1"/>
    <col min="14338" max="14338" width="23.7109375" style="274" customWidth="1"/>
    <col min="14339" max="14340" width="9.421875" style="274" customWidth="1"/>
    <col min="14341" max="14341" width="14.00390625" style="274" customWidth="1"/>
    <col min="14342" max="14342" width="7.7109375" style="274" customWidth="1"/>
    <col min="14343" max="14382" width="6.421875" style="274" customWidth="1"/>
    <col min="14383" max="14590" width="9.140625" style="274" customWidth="1"/>
    <col min="14591" max="14591" width="7.00390625" style="274" bestFit="1" customWidth="1"/>
    <col min="14592" max="14592" width="5.421875" style="274" bestFit="1" customWidth="1"/>
    <col min="14593" max="14593" width="74.57421875" style="274" customWidth="1"/>
    <col min="14594" max="14594" width="23.7109375" style="274" customWidth="1"/>
    <col min="14595" max="14596" width="9.421875" style="274" customWidth="1"/>
    <col min="14597" max="14597" width="14.00390625" style="274" customWidth="1"/>
    <col min="14598" max="14598" width="7.7109375" style="274" customWidth="1"/>
    <col min="14599" max="14638" width="6.421875" style="274" customWidth="1"/>
    <col min="14639" max="14846" width="9.140625" style="274" customWidth="1"/>
    <col min="14847" max="14847" width="7.00390625" style="274" bestFit="1" customWidth="1"/>
    <col min="14848" max="14848" width="5.421875" style="274" bestFit="1" customWidth="1"/>
    <col min="14849" max="14849" width="74.57421875" style="274" customWidth="1"/>
    <col min="14850" max="14850" width="23.7109375" style="274" customWidth="1"/>
    <col min="14851" max="14852" width="9.421875" style="274" customWidth="1"/>
    <col min="14853" max="14853" width="14.00390625" style="274" customWidth="1"/>
    <col min="14854" max="14854" width="7.7109375" style="274" customWidth="1"/>
    <col min="14855" max="14894" width="6.421875" style="274" customWidth="1"/>
    <col min="14895" max="15102" width="9.140625" style="274" customWidth="1"/>
    <col min="15103" max="15103" width="7.00390625" style="274" bestFit="1" customWidth="1"/>
    <col min="15104" max="15104" width="5.421875" style="274" bestFit="1" customWidth="1"/>
    <col min="15105" max="15105" width="74.57421875" style="274" customWidth="1"/>
    <col min="15106" max="15106" width="23.7109375" style="274" customWidth="1"/>
    <col min="15107" max="15108" width="9.421875" style="274" customWidth="1"/>
    <col min="15109" max="15109" width="14.00390625" style="274" customWidth="1"/>
    <col min="15110" max="15110" width="7.7109375" style="274" customWidth="1"/>
    <col min="15111" max="15150" width="6.421875" style="274" customWidth="1"/>
    <col min="15151" max="15358" width="9.140625" style="274" customWidth="1"/>
    <col min="15359" max="15359" width="7.00390625" style="274" bestFit="1" customWidth="1"/>
    <col min="15360" max="15360" width="5.421875" style="274" bestFit="1" customWidth="1"/>
    <col min="15361" max="15361" width="74.57421875" style="274" customWidth="1"/>
    <col min="15362" max="15362" width="23.7109375" style="274" customWidth="1"/>
    <col min="15363" max="15364" width="9.421875" style="274" customWidth="1"/>
    <col min="15365" max="15365" width="14.00390625" style="274" customWidth="1"/>
    <col min="15366" max="15366" width="7.7109375" style="274" customWidth="1"/>
    <col min="15367" max="15406" width="6.421875" style="274" customWidth="1"/>
    <col min="15407" max="15614" width="9.140625" style="274" customWidth="1"/>
    <col min="15615" max="15615" width="7.00390625" style="274" bestFit="1" customWidth="1"/>
    <col min="15616" max="15616" width="5.421875" style="274" bestFit="1" customWidth="1"/>
    <col min="15617" max="15617" width="74.57421875" style="274" customWidth="1"/>
    <col min="15618" max="15618" width="23.7109375" style="274" customWidth="1"/>
    <col min="15619" max="15620" width="9.421875" style="274" customWidth="1"/>
    <col min="15621" max="15621" width="14.00390625" style="274" customWidth="1"/>
    <col min="15622" max="15622" width="7.7109375" style="274" customWidth="1"/>
    <col min="15623" max="15662" width="6.421875" style="274" customWidth="1"/>
    <col min="15663" max="15870" width="9.140625" style="274" customWidth="1"/>
    <col min="15871" max="15871" width="7.00390625" style="274" bestFit="1" customWidth="1"/>
    <col min="15872" max="15872" width="5.421875" style="274" bestFit="1" customWidth="1"/>
    <col min="15873" max="15873" width="74.57421875" style="274" customWidth="1"/>
    <col min="15874" max="15874" width="23.7109375" style="274" customWidth="1"/>
    <col min="15875" max="15876" width="9.421875" style="274" customWidth="1"/>
    <col min="15877" max="15877" width="14.00390625" style="274" customWidth="1"/>
    <col min="15878" max="15878" width="7.7109375" style="274" customWidth="1"/>
    <col min="15879" max="15918" width="6.421875" style="274" customWidth="1"/>
    <col min="15919" max="16126" width="9.140625" style="274" customWidth="1"/>
    <col min="16127" max="16127" width="7.00390625" style="274" bestFit="1" customWidth="1"/>
    <col min="16128" max="16128" width="5.421875" style="274" bestFit="1" customWidth="1"/>
    <col min="16129" max="16129" width="74.57421875" style="274" customWidth="1"/>
    <col min="16130" max="16130" width="23.7109375" style="274" customWidth="1"/>
    <col min="16131" max="16132" width="9.421875" style="274" customWidth="1"/>
    <col min="16133" max="16133" width="14.00390625" style="274" customWidth="1"/>
    <col min="16134" max="16134" width="7.7109375" style="274" customWidth="1"/>
    <col min="16135" max="16174" width="6.421875" style="274" customWidth="1"/>
    <col min="16175" max="16384" width="9.140625" style="274" customWidth="1"/>
  </cols>
  <sheetData>
    <row r="1" spans="1:7" ht="17.25">
      <c r="A1" s="735" t="s">
        <v>1349</v>
      </c>
      <c r="B1" s="735" t="s">
        <v>1644</v>
      </c>
      <c r="C1" s="735" t="s">
        <v>1350</v>
      </c>
      <c r="D1" s="739" t="s">
        <v>2041</v>
      </c>
      <c r="E1" s="736" t="s">
        <v>1348</v>
      </c>
      <c r="F1" s="736" t="s">
        <v>1346</v>
      </c>
      <c r="G1" s="736" t="s">
        <v>1347</v>
      </c>
    </row>
    <row r="2" spans="1:7" ht="12.75">
      <c r="A2" s="729">
        <v>2</v>
      </c>
      <c r="B2" s="729">
        <v>2</v>
      </c>
      <c r="C2" s="730" t="s">
        <v>1655</v>
      </c>
      <c r="D2" s="731" t="s">
        <v>1653</v>
      </c>
      <c r="E2" s="732" t="s">
        <v>1654</v>
      </c>
      <c r="F2" s="737" t="s">
        <v>1351</v>
      </c>
      <c r="G2" s="737" t="s">
        <v>1352</v>
      </c>
    </row>
    <row r="3" spans="1:51" s="273" customFormat="1" ht="12.75">
      <c r="A3" s="729">
        <v>2</v>
      </c>
      <c r="B3" s="729">
        <v>2</v>
      </c>
      <c r="C3" s="730" t="s">
        <v>1322</v>
      </c>
      <c r="D3" s="731" t="s">
        <v>1664</v>
      </c>
      <c r="E3" s="732" t="s">
        <v>1665</v>
      </c>
      <c r="F3" s="737" t="s">
        <v>1351</v>
      </c>
      <c r="G3" s="737" t="s">
        <v>1352</v>
      </c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</row>
    <row r="4" spans="1:7" s="273" customFormat="1" ht="12.75">
      <c r="A4" s="729">
        <v>2</v>
      </c>
      <c r="B4" s="729">
        <v>2</v>
      </c>
      <c r="C4" s="730" t="s">
        <v>1026</v>
      </c>
      <c r="D4" s="731" t="s">
        <v>1675</v>
      </c>
      <c r="E4" s="732" t="s">
        <v>1676</v>
      </c>
      <c r="F4" s="737" t="s">
        <v>1351</v>
      </c>
      <c r="G4" s="737" t="s">
        <v>1352</v>
      </c>
    </row>
    <row r="5" spans="1:7" s="273" customFormat="1" ht="12.75">
      <c r="A5" s="729">
        <v>2</v>
      </c>
      <c r="B5" s="729">
        <v>2</v>
      </c>
      <c r="C5" s="730" t="s">
        <v>1321</v>
      </c>
      <c r="D5" s="731" t="s">
        <v>1681</v>
      </c>
      <c r="E5" s="732" t="s">
        <v>1682</v>
      </c>
      <c r="F5" s="737" t="s">
        <v>1351</v>
      </c>
      <c r="G5" s="737" t="s">
        <v>1352</v>
      </c>
    </row>
    <row r="6" spans="1:7" s="273" customFormat="1" ht="12.75">
      <c r="A6" s="729">
        <v>2</v>
      </c>
      <c r="B6" s="729">
        <v>2</v>
      </c>
      <c r="C6" s="730" t="s">
        <v>1372</v>
      </c>
      <c r="D6" s="731" t="s">
        <v>1689</v>
      </c>
      <c r="E6" s="732" t="s">
        <v>1690</v>
      </c>
      <c r="F6" s="737" t="s">
        <v>1351</v>
      </c>
      <c r="G6" s="737" t="s">
        <v>1352</v>
      </c>
    </row>
    <row r="7" spans="1:7" s="273" customFormat="1" ht="12.75">
      <c r="A7" s="729">
        <v>2</v>
      </c>
      <c r="B7" s="729">
        <v>2</v>
      </c>
      <c r="C7" s="730" t="s">
        <v>886</v>
      </c>
      <c r="D7" s="731" t="s">
        <v>1692</v>
      </c>
      <c r="E7" s="732" t="s">
        <v>1693</v>
      </c>
      <c r="F7" s="737" t="s">
        <v>1351</v>
      </c>
      <c r="G7" s="737" t="s">
        <v>1352</v>
      </c>
    </row>
    <row r="8" spans="1:7" s="273" customFormat="1" ht="12.75">
      <c r="A8" s="729">
        <v>2</v>
      </c>
      <c r="B8" s="729">
        <v>2</v>
      </c>
      <c r="C8" s="733" t="s">
        <v>1844</v>
      </c>
      <c r="D8" s="731" t="s">
        <v>1706</v>
      </c>
      <c r="E8" s="732" t="s">
        <v>1707</v>
      </c>
      <c r="F8" s="737" t="s">
        <v>1351</v>
      </c>
      <c r="G8" s="737" t="s">
        <v>1352</v>
      </c>
    </row>
    <row r="9" spans="1:7" s="273" customFormat="1" ht="12.75">
      <c r="A9" s="729">
        <v>2</v>
      </c>
      <c r="B9" s="729">
        <v>2</v>
      </c>
      <c r="C9" s="730" t="s">
        <v>1320</v>
      </c>
      <c r="D9" s="731" t="s">
        <v>1712</v>
      </c>
      <c r="E9" s="732" t="s">
        <v>1713</v>
      </c>
      <c r="F9" s="737" t="s">
        <v>1351</v>
      </c>
      <c r="G9" s="737" t="s">
        <v>1352</v>
      </c>
    </row>
    <row r="10" spans="1:7" s="273" customFormat="1" ht="12.75">
      <c r="A10" s="729">
        <v>2</v>
      </c>
      <c r="B10" s="729">
        <v>2</v>
      </c>
      <c r="C10" s="733">
        <v>10</v>
      </c>
      <c r="D10" s="731" t="s">
        <v>1752</v>
      </c>
      <c r="E10" s="732" t="s">
        <v>1753</v>
      </c>
      <c r="F10" s="737" t="s">
        <v>1351</v>
      </c>
      <c r="G10" s="737" t="s">
        <v>1352</v>
      </c>
    </row>
    <row r="11" spans="1:7" s="273" customFormat="1" ht="12.75">
      <c r="A11" s="729">
        <v>2</v>
      </c>
      <c r="B11" s="729">
        <v>2</v>
      </c>
      <c r="C11" s="733">
        <v>11</v>
      </c>
      <c r="D11" s="731" t="s">
        <v>1774</v>
      </c>
      <c r="E11" s="732" t="s">
        <v>1775</v>
      </c>
      <c r="F11" s="737" t="s">
        <v>1351</v>
      </c>
      <c r="G11" s="737" t="s">
        <v>1352</v>
      </c>
    </row>
    <row r="12" spans="1:7" s="273" customFormat="1" ht="12.75">
      <c r="A12" s="729">
        <v>2</v>
      </c>
      <c r="B12" s="729">
        <v>2</v>
      </c>
      <c r="C12" s="733">
        <v>19</v>
      </c>
      <c r="D12" s="731" t="s">
        <v>1777</v>
      </c>
      <c r="E12" s="732" t="s">
        <v>1778</v>
      </c>
      <c r="F12" s="737" t="s">
        <v>1351</v>
      </c>
      <c r="G12" s="737" t="s">
        <v>1352</v>
      </c>
    </row>
    <row r="13" spans="1:7" s="273" customFormat="1" ht="12.75">
      <c r="A13" s="729">
        <v>2</v>
      </c>
      <c r="B13" s="729">
        <v>2</v>
      </c>
      <c r="C13" s="733">
        <v>21</v>
      </c>
      <c r="D13" s="731" t="s">
        <v>1788</v>
      </c>
      <c r="E13" s="732" t="s">
        <v>1789</v>
      </c>
      <c r="F13" s="737" t="s">
        <v>1351</v>
      </c>
      <c r="G13" s="737" t="s">
        <v>1352</v>
      </c>
    </row>
    <row r="14" spans="1:7" ht="12.75">
      <c r="A14" s="729">
        <v>2</v>
      </c>
      <c r="B14" s="729">
        <v>2</v>
      </c>
      <c r="C14" s="733">
        <v>22</v>
      </c>
      <c r="D14" s="731" t="s">
        <v>1796</v>
      </c>
      <c r="E14" s="732" t="s">
        <v>1797</v>
      </c>
      <c r="F14" s="737" t="s">
        <v>1351</v>
      </c>
      <c r="G14" s="737" t="s">
        <v>1352</v>
      </c>
    </row>
    <row r="15" spans="1:7" ht="12.75">
      <c r="A15" s="729">
        <v>2</v>
      </c>
      <c r="B15" s="729">
        <v>2</v>
      </c>
      <c r="C15" s="733">
        <v>31</v>
      </c>
      <c r="D15" s="731" t="s">
        <v>1813</v>
      </c>
      <c r="E15" s="732" t="s">
        <v>1814</v>
      </c>
      <c r="F15" s="737" t="s">
        <v>1351</v>
      </c>
      <c r="G15" s="737" t="s">
        <v>1352</v>
      </c>
    </row>
    <row r="16" spans="1:23" s="280" customFormat="1" ht="12.75">
      <c r="A16" s="729">
        <v>2</v>
      </c>
      <c r="B16" s="729">
        <v>2</v>
      </c>
      <c r="C16" s="733">
        <v>32</v>
      </c>
      <c r="D16" s="731" t="s">
        <v>1816</v>
      </c>
      <c r="E16" s="732" t="s">
        <v>1817</v>
      </c>
      <c r="F16" s="737" t="s">
        <v>1351</v>
      </c>
      <c r="G16" s="737" t="s">
        <v>1352</v>
      </c>
      <c r="H16" s="273"/>
      <c r="I16" s="273"/>
      <c r="J16" s="273"/>
      <c r="K16" s="273"/>
      <c r="L16" s="273"/>
      <c r="M16" s="273"/>
      <c r="N16" s="273"/>
      <c r="O16" s="273"/>
      <c r="P16" s="274"/>
      <c r="Q16" s="274"/>
      <c r="R16" s="274"/>
      <c r="S16" s="274"/>
      <c r="T16" s="274"/>
      <c r="U16" s="274"/>
      <c r="V16" s="274"/>
      <c r="W16" s="274"/>
    </row>
    <row r="17" spans="1:23" s="280" customFormat="1" ht="12.75">
      <c r="A17" s="729">
        <v>2</v>
      </c>
      <c r="B17" s="729">
        <v>2</v>
      </c>
      <c r="C17" s="733">
        <v>33</v>
      </c>
      <c r="D17" s="731" t="s">
        <v>1822</v>
      </c>
      <c r="E17" s="732" t="s">
        <v>1823</v>
      </c>
      <c r="F17" s="737" t="s">
        <v>1351</v>
      </c>
      <c r="G17" s="737" t="s">
        <v>1352</v>
      </c>
      <c r="H17" s="273"/>
      <c r="I17" s="273"/>
      <c r="J17" s="273"/>
      <c r="K17" s="273"/>
      <c r="L17" s="273"/>
      <c r="M17" s="273"/>
      <c r="N17" s="273"/>
      <c r="O17" s="273"/>
      <c r="P17" s="274"/>
      <c r="Q17" s="274"/>
      <c r="R17" s="274"/>
      <c r="S17" s="274"/>
      <c r="T17" s="274"/>
      <c r="U17" s="274"/>
      <c r="V17" s="274"/>
      <c r="W17" s="274"/>
    </row>
    <row r="18" spans="1:23" s="280" customFormat="1" ht="12.75">
      <c r="A18" s="729">
        <v>2</v>
      </c>
      <c r="B18" s="729">
        <v>2</v>
      </c>
      <c r="C18" s="733">
        <v>34</v>
      </c>
      <c r="D18" s="731" t="s">
        <v>1825</v>
      </c>
      <c r="E18" s="732" t="s">
        <v>1826</v>
      </c>
      <c r="F18" s="737" t="s">
        <v>1351</v>
      </c>
      <c r="G18" s="737" t="s">
        <v>1352</v>
      </c>
      <c r="H18" s="273"/>
      <c r="I18" s="273"/>
      <c r="J18" s="273"/>
      <c r="K18" s="273"/>
      <c r="L18" s="273"/>
      <c r="M18" s="273"/>
      <c r="N18" s="273"/>
      <c r="O18" s="273"/>
      <c r="P18" s="274"/>
      <c r="Q18" s="274"/>
      <c r="R18" s="274"/>
      <c r="S18" s="274"/>
      <c r="T18" s="274"/>
      <c r="U18" s="274"/>
      <c r="V18" s="274"/>
      <c r="W18" s="274"/>
    </row>
    <row r="19" spans="1:23" s="280" customFormat="1" ht="12.75">
      <c r="A19" s="729">
        <v>2</v>
      </c>
      <c r="B19" s="729">
        <v>2</v>
      </c>
      <c r="C19" s="733">
        <v>35</v>
      </c>
      <c r="D19" s="731" t="s">
        <v>1828</v>
      </c>
      <c r="E19" s="732" t="s">
        <v>1829</v>
      </c>
      <c r="F19" s="737" t="s">
        <v>1351</v>
      </c>
      <c r="G19" s="737" t="s">
        <v>1352</v>
      </c>
      <c r="H19" s="273"/>
      <c r="I19" s="273"/>
      <c r="J19" s="273"/>
      <c r="K19" s="273"/>
      <c r="L19" s="273"/>
      <c r="M19" s="273"/>
      <c r="N19" s="273"/>
      <c r="O19" s="273"/>
      <c r="P19" s="274"/>
      <c r="Q19" s="274"/>
      <c r="R19" s="274"/>
      <c r="S19" s="274"/>
      <c r="T19" s="274"/>
      <c r="U19" s="274"/>
      <c r="V19" s="274"/>
      <c r="W19" s="274"/>
    </row>
    <row r="20" spans="1:23" s="280" customFormat="1" ht="12.75">
      <c r="A20" s="729">
        <v>2</v>
      </c>
      <c r="B20" s="729">
        <v>2</v>
      </c>
      <c r="C20" s="733">
        <v>36</v>
      </c>
      <c r="D20" s="731" t="s">
        <v>1831</v>
      </c>
      <c r="E20" s="732" t="s">
        <v>1832</v>
      </c>
      <c r="F20" s="737" t="s">
        <v>1351</v>
      </c>
      <c r="G20" s="737" t="s">
        <v>1352</v>
      </c>
      <c r="H20" s="273"/>
      <c r="I20" s="273"/>
      <c r="J20" s="273"/>
      <c r="K20" s="273"/>
      <c r="L20" s="273"/>
      <c r="M20" s="273"/>
      <c r="N20" s="273"/>
      <c r="O20" s="273"/>
      <c r="P20" s="274"/>
      <c r="Q20" s="274"/>
      <c r="R20" s="274"/>
      <c r="S20" s="274"/>
      <c r="T20" s="274"/>
      <c r="U20" s="274"/>
      <c r="V20" s="274"/>
      <c r="W20" s="274"/>
    </row>
    <row r="21" spans="1:23" s="280" customFormat="1" ht="12.75">
      <c r="A21" s="729">
        <v>2</v>
      </c>
      <c r="B21" s="729">
        <v>2</v>
      </c>
      <c r="C21" s="733">
        <v>39</v>
      </c>
      <c r="D21" s="731" t="s">
        <v>1837</v>
      </c>
      <c r="E21" s="732" t="s">
        <v>1838</v>
      </c>
      <c r="F21" s="737" t="s">
        <v>1351</v>
      </c>
      <c r="G21" s="737" t="s">
        <v>1352</v>
      </c>
      <c r="H21" s="273"/>
      <c r="I21" s="273"/>
      <c r="J21" s="273"/>
      <c r="K21" s="273"/>
      <c r="L21" s="273"/>
      <c r="M21" s="273"/>
      <c r="N21" s="273"/>
      <c r="O21" s="273"/>
      <c r="P21" s="274"/>
      <c r="Q21" s="274"/>
      <c r="R21" s="274"/>
      <c r="S21" s="274"/>
      <c r="T21" s="274"/>
      <c r="U21" s="274"/>
      <c r="V21" s="274"/>
      <c r="W21" s="274"/>
    </row>
    <row r="22" spans="1:23" s="280" customFormat="1" ht="12.75">
      <c r="A22" s="729">
        <v>2</v>
      </c>
      <c r="B22" s="729">
        <v>5</v>
      </c>
      <c r="C22" s="733">
        <v>99</v>
      </c>
      <c r="D22" s="731" t="s">
        <v>1840</v>
      </c>
      <c r="E22" s="734" t="s">
        <v>1842</v>
      </c>
      <c r="F22" s="738" t="s">
        <v>1351</v>
      </c>
      <c r="G22" s="738" t="s">
        <v>1352</v>
      </c>
      <c r="H22" s="273"/>
      <c r="I22" s="273"/>
      <c r="J22" s="273"/>
      <c r="K22" s="273"/>
      <c r="L22" s="273"/>
      <c r="M22" s="273"/>
      <c r="N22" s="273"/>
      <c r="O22" s="273"/>
      <c r="P22" s="274"/>
      <c r="Q22" s="274"/>
      <c r="R22" s="274"/>
      <c r="S22" s="274"/>
      <c r="T22" s="274"/>
      <c r="U22" s="274"/>
      <c r="V22" s="274"/>
      <c r="W22" s="274"/>
    </row>
    <row r="27" spans="1:7" ht="23.25" customHeight="1">
      <c r="A27" s="270" t="s">
        <v>1643</v>
      </c>
      <c r="B27" s="270"/>
      <c r="C27" s="271"/>
      <c r="D27" s="332" t="s">
        <v>1642</v>
      </c>
      <c r="E27" s="334"/>
      <c r="G27" s="333"/>
    </row>
    <row r="28" spans="1:7" ht="17.25">
      <c r="A28" s="277" t="s">
        <v>1349</v>
      </c>
      <c r="B28" s="277" t="s">
        <v>1644</v>
      </c>
      <c r="C28" s="278" t="s">
        <v>1350</v>
      </c>
      <c r="D28" s="279" t="s">
        <v>1645</v>
      </c>
      <c r="E28" s="275" t="s">
        <v>1348</v>
      </c>
      <c r="F28" s="275" t="s">
        <v>1346</v>
      </c>
      <c r="G28" s="276" t="s">
        <v>1347</v>
      </c>
    </row>
    <row r="29" spans="4:7" ht="12.75">
      <c r="D29" s="283" t="s">
        <v>1648</v>
      </c>
      <c r="E29" s="284" t="s">
        <v>1649</v>
      </c>
      <c r="F29" s="281" t="s">
        <v>1351</v>
      </c>
      <c r="G29" s="282" t="s">
        <v>1646</v>
      </c>
    </row>
    <row r="30" spans="3:7" ht="12.75">
      <c r="C30" s="297" t="s">
        <v>1652</v>
      </c>
      <c r="D30" s="288" t="s">
        <v>1650</v>
      </c>
      <c r="E30" s="289" t="s">
        <v>1651</v>
      </c>
      <c r="F30" s="286" t="s">
        <v>1351</v>
      </c>
      <c r="G30" s="287" t="s">
        <v>1647</v>
      </c>
    </row>
    <row r="31" spans="1:7" ht="12.75">
      <c r="A31" s="302">
        <v>2</v>
      </c>
      <c r="B31" s="302">
        <v>2</v>
      </c>
      <c r="C31" s="303" t="s">
        <v>1655</v>
      </c>
      <c r="D31" s="300" t="s">
        <v>1653</v>
      </c>
      <c r="E31" s="301" t="s">
        <v>1654</v>
      </c>
      <c r="F31" s="298" t="s">
        <v>1351</v>
      </c>
      <c r="G31" s="299" t="s">
        <v>1352</v>
      </c>
    </row>
    <row r="32" spans="1:8" ht="12.75">
      <c r="A32" s="306"/>
      <c r="B32" s="306"/>
      <c r="D32" s="304" t="s">
        <v>1656</v>
      </c>
      <c r="E32" s="305" t="s">
        <v>1657</v>
      </c>
      <c r="F32" s="293" t="s">
        <v>1351</v>
      </c>
      <c r="G32" s="294" t="s">
        <v>1355</v>
      </c>
      <c r="H32" s="307"/>
    </row>
    <row r="33" spans="4:7" ht="12.75">
      <c r="D33" s="295" t="s">
        <v>1658</v>
      </c>
      <c r="E33" s="296" t="s">
        <v>1659</v>
      </c>
      <c r="F33" s="293" t="s">
        <v>1351</v>
      </c>
      <c r="G33" s="294" t="s">
        <v>1355</v>
      </c>
    </row>
    <row r="34" spans="4:7" ht="12.75">
      <c r="D34" s="295" t="s">
        <v>1660</v>
      </c>
      <c r="E34" s="296" t="s">
        <v>1661</v>
      </c>
      <c r="F34" s="293" t="s">
        <v>1351</v>
      </c>
      <c r="G34" s="294" t="s">
        <v>1355</v>
      </c>
    </row>
    <row r="35" spans="1:7" ht="12.75">
      <c r="A35" s="306"/>
      <c r="B35" s="306"/>
      <c r="D35" s="304" t="s">
        <v>1662</v>
      </c>
      <c r="E35" s="305" t="s">
        <v>1663</v>
      </c>
      <c r="F35" s="293" t="s">
        <v>1351</v>
      </c>
      <c r="G35" s="294" t="s">
        <v>1355</v>
      </c>
    </row>
    <row r="36" spans="1:51" s="273" customFormat="1" ht="12.75">
      <c r="A36" s="302">
        <v>2</v>
      </c>
      <c r="B36" s="302">
        <v>2</v>
      </c>
      <c r="C36" s="303" t="s">
        <v>1322</v>
      </c>
      <c r="D36" s="300" t="s">
        <v>1664</v>
      </c>
      <c r="E36" s="301" t="s">
        <v>1665</v>
      </c>
      <c r="F36" s="298" t="s">
        <v>1351</v>
      </c>
      <c r="G36" s="299" t="s">
        <v>1352</v>
      </c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</row>
    <row r="37" spans="1:51" s="273" customFormat="1" ht="12.75">
      <c r="A37" s="306"/>
      <c r="B37" s="306"/>
      <c r="C37" s="285"/>
      <c r="D37" s="304" t="s">
        <v>1666</v>
      </c>
      <c r="E37" s="305" t="s">
        <v>1667</v>
      </c>
      <c r="F37" s="293" t="s">
        <v>1351</v>
      </c>
      <c r="G37" s="294" t="s">
        <v>1355</v>
      </c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</row>
    <row r="38" spans="1:51" s="273" customFormat="1" ht="12.75">
      <c r="A38" s="306"/>
      <c r="B38" s="306"/>
      <c r="C38" s="285"/>
      <c r="D38" s="304" t="s">
        <v>1668</v>
      </c>
      <c r="E38" s="305" t="s">
        <v>1669</v>
      </c>
      <c r="F38" s="293" t="s">
        <v>1351</v>
      </c>
      <c r="G38" s="294" t="s">
        <v>1355</v>
      </c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</row>
    <row r="39" spans="1:51" s="273" customFormat="1" ht="12.75">
      <c r="A39" s="310"/>
      <c r="B39" s="310"/>
      <c r="C39" s="310"/>
      <c r="D39" s="308" t="s">
        <v>1670</v>
      </c>
      <c r="E39" s="309" t="s">
        <v>1671</v>
      </c>
      <c r="F39" s="293" t="s">
        <v>1351</v>
      </c>
      <c r="G39" s="294" t="s">
        <v>1355</v>
      </c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</row>
    <row r="40" spans="1:8" s="273" customFormat="1" ht="12.75">
      <c r="A40" s="307"/>
      <c r="B40" s="307"/>
      <c r="C40" s="311"/>
      <c r="D40" s="304" t="s">
        <v>1673</v>
      </c>
      <c r="E40" s="305" t="s">
        <v>1674</v>
      </c>
      <c r="F40" s="293" t="s">
        <v>1351</v>
      </c>
      <c r="G40" s="294" t="s">
        <v>1355</v>
      </c>
      <c r="H40" s="307"/>
    </row>
    <row r="41" spans="1:7" s="273" customFormat="1" ht="12.75">
      <c r="A41" s="302">
        <v>2</v>
      </c>
      <c r="B41" s="302">
        <v>2</v>
      </c>
      <c r="C41" s="303" t="s">
        <v>1026</v>
      </c>
      <c r="D41" s="300" t="s">
        <v>1675</v>
      </c>
      <c r="E41" s="301" t="s">
        <v>1676</v>
      </c>
      <c r="F41" s="298" t="s">
        <v>1351</v>
      </c>
      <c r="G41" s="299" t="s">
        <v>1352</v>
      </c>
    </row>
    <row r="42" spans="1:7" s="273" customFormat="1" ht="12.75">
      <c r="A42" s="272"/>
      <c r="B42" s="272"/>
      <c r="C42" s="311"/>
      <c r="D42" s="304" t="s">
        <v>1677</v>
      </c>
      <c r="E42" s="305" t="s">
        <v>1678</v>
      </c>
      <c r="F42" s="293" t="s">
        <v>1351</v>
      </c>
      <c r="G42" s="294" t="s">
        <v>1355</v>
      </c>
    </row>
    <row r="43" spans="1:7" s="273" customFormat="1" ht="12.75">
      <c r="A43" s="272"/>
      <c r="B43" s="272"/>
      <c r="C43" s="311"/>
      <c r="D43" s="304" t="s">
        <v>1679</v>
      </c>
      <c r="E43" s="305" t="s">
        <v>1680</v>
      </c>
      <c r="F43" s="293" t="s">
        <v>1351</v>
      </c>
      <c r="G43" s="294" t="s">
        <v>1355</v>
      </c>
    </row>
    <row r="44" spans="1:7" s="273" customFormat="1" ht="12.75">
      <c r="A44" s="302">
        <v>2</v>
      </c>
      <c r="B44" s="302">
        <v>2</v>
      </c>
      <c r="C44" s="303" t="s">
        <v>1321</v>
      </c>
      <c r="D44" s="300" t="s">
        <v>1681</v>
      </c>
      <c r="E44" s="301" t="s">
        <v>1682</v>
      </c>
      <c r="F44" s="298" t="s">
        <v>1351</v>
      </c>
      <c r="G44" s="299" t="s">
        <v>1352</v>
      </c>
    </row>
    <row r="45" spans="1:7" s="273" customFormat="1" ht="12.75">
      <c r="A45" s="306"/>
      <c r="B45" s="306"/>
      <c r="C45" s="311"/>
      <c r="D45" s="304" t="s">
        <v>1683</v>
      </c>
      <c r="E45" s="305" t="s">
        <v>1684</v>
      </c>
      <c r="F45" s="293" t="s">
        <v>1351</v>
      </c>
      <c r="G45" s="294" t="s">
        <v>1355</v>
      </c>
    </row>
    <row r="46" spans="1:7" s="273" customFormat="1" ht="12.75">
      <c r="A46" s="272"/>
      <c r="B46" s="272"/>
      <c r="C46" s="311"/>
      <c r="D46" s="295" t="s">
        <v>1685</v>
      </c>
      <c r="E46" s="296" t="s">
        <v>1686</v>
      </c>
      <c r="F46" s="293" t="s">
        <v>1351</v>
      </c>
      <c r="G46" s="294" t="s">
        <v>1355</v>
      </c>
    </row>
    <row r="47" spans="1:7" s="273" customFormat="1" ht="12.75">
      <c r="A47" s="272"/>
      <c r="B47" s="272"/>
      <c r="C47" s="311"/>
      <c r="D47" s="304" t="s">
        <v>1687</v>
      </c>
      <c r="E47" s="305" t="s">
        <v>1688</v>
      </c>
      <c r="F47" s="293" t="s">
        <v>1351</v>
      </c>
      <c r="G47" s="294" t="s">
        <v>1355</v>
      </c>
    </row>
    <row r="48" spans="1:7" s="273" customFormat="1" ht="12.75">
      <c r="A48" s="302">
        <v>2</v>
      </c>
      <c r="B48" s="302">
        <v>2</v>
      </c>
      <c r="C48" s="303" t="s">
        <v>1372</v>
      </c>
      <c r="D48" s="300" t="s">
        <v>1689</v>
      </c>
      <c r="E48" s="301" t="s">
        <v>1690</v>
      </c>
      <c r="F48" s="298" t="s">
        <v>1351</v>
      </c>
      <c r="G48" s="299" t="s">
        <v>1352</v>
      </c>
    </row>
    <row r="49" spans="1:11" s="273" customFormat="1" ht="12.75">
      <c r="A49" s="306"/>
      <c r="B49" s="306"/>
      <c r="C49" s="311"/>
      <c r="D49" s="304" t="s">
        <v>1689</v>
      </c>
      <c r="E49" s="305" t="s">
        <v>1691</v>
      </c>
      <c r="F49" s="293" t="s">
        <v>1351</v>
      </c>
      <c r="G49" s="294" t="s">
        <v>1355</v>
      </c>
      <c r="H49" s="312"/>
      <c r="I49" s="307"/>
      <c r="J49" s="307"/>
      <c r="K49" s="307"/>
    </row>
    <row r="50" spans="1:7" s="273" customFormat="1" ht="12.75">
      <c r="A50" s="302">
        <v>2</v>
      </c>
      <c r="B50" s="302">
        <v>2</v>
      </c>
      <c r="C50" s="303" t="s">
        <v>886</v>
      </c>
      <c r="D50" s="300" t="s">
        <v>1692</v>
      </c>
      <c r="E50" s="301" t="s">
        <v>1693</v>
      </c>
      <c r="F50" s="298" t="s">
        <v>1351</v>
      </c>
      <c r="G50" s="299" t="s">
        <v>1352</v>
      </c>
    </row>
    <row r="51" spans="1:7" s="273" customFormat="1" ht="12.75">
      <c r="A51" s="272"/>
      <c r="B51" s="272"/>
      <c r="C51" s="311"/>
      <c r="D51" s="295" t="s">
        <v>1694</v>
      </c>
      <c r="E51" s="296" t="s">
        <v>1695</v>
      </c>
      <c r="F51" s="293" t="s">
        <v>1351</v>
      </c>
      <c r="G51" s="294" t="s">
        <v>1355</v>
      </c>
    </row>
    <row r="52" spans="1:7" s="273" customFormat="1" ht="12.75">
      <c r="A52" s="306"/>
      <c r="B52" s="306"/>
      <c r="C52" s="311"/>
      <c r="D52" s="304" t="s">
        <v>1696</v>
      </c>
      <c r="E52" s="305" t="s">
        <v>1697</v>
      </c>
      <c r="F52" s="293" t="s">
        <v>1351</v>
      </c>
      <c r="G52" s="294" t="s">
        <v>1355</v>
      </c>
    </row>
    <row r="53" spans="1:7" s="273" customFormat="1" ht="12.75">
      <c r="A53" s="272"/>
      <c r="B53" s="272"/>
      <c r="C53" s="311"/>
      <c r="D53" s="295" t="s">
        <v>1698</v>
      </c>
      <c r="E53" s="296" t="s">
        <v>1699</v>
      </c>
      <c r="F53" s="293" t="s">
        <v>1351</v>
      </c>
      <c r="G53" s="294" t="s">
        <v>1355</v>
      </c>
    </row>
    <row r="54" spans="1:7" s="273" customFormat="1" ht="12.75">
      <c r="A54" s="306"/>
      <c r="B54" s="306"/>
      <c r="C54" s="311"/>
      <c r="D54" s="304" t="s">
        <v>1700</v>
      </c>
      <c r="E54" s="305" t="s">
        <v>1701</v>
      </c>
      <c r="F54" s="293" t="s">
        <v>1351</v>
      </c>
      <c r="G54" s="294" t="s">
        <v>1355</v>
      </c>
    </row>
    <row r="55" spans="1:7" s="273" customFormat="1" ht="12.75">
      <c r="A55" s="310"/>
      <c r="B55" s="310"/>
      <c r="C55" s="310"/>
      <c r="D55" s="308" t="s">
        <v>1702</v>
      </c>
      <c r="E55" s="309" t="s">
        <v>1703</v>
      </c>
      <c r="F55" s="293" t="s">
        <v>1351</v>
      </c>
      <c r="G55" s="294" t="s">
        <v>1355</v>
      </c>
    </row>
    <row r="56" spans="1:7" s="273" customFormat="1" ht="12.75">
      <c r="A56" s="272"/>
      <c r="B56" s="272"/>
      <c r="C56" s="311"/>
      <c r="D56" s="295" t="s">
        <v>1704</v>
      </c>
      <c r="E56" s="296" t="s">
        <v>1705</v>
      </c>
      <c r="F56" s="293" t="s">
        <v>1351</v>
      </c>
      <c r="G56" s="294" t="s">
        <v>1355</v>
      </c>
    </row>
    <row r="57" spans="1:7" s="273" customFormat="1" ht="12.75">
      <c r="A57" s="272"/>
      <c r="B57" s="272"/>
      <c r="C57" s="311"/>
      <c r="D57" s="300" t="s">
        <v>1706</v>
      </c>
      <c r="E57" s="301" t="s">
        <v>1707</v>
      </c>
      <c r="F57" s="298" t="s">
        <v>1351</v>
      </c>
      <c r="G57" s="299" t="s">
        <v>1352</v>
      </c>
    </row>
    <row r="58" spans="1:7" s="273" customFormat="1" ht="12.75">
      <c r="A58" s="272"/>
      <c r="B58" s="272"/>
      <c r="C58" s="311"/>
      <c r="D58" s="295" t="s">
        <v>1708</v>
      </c>
      <c r="E58" s="296" t="s">
        <v>1709</v>
      </c>
      <c r="F58" s="293" t="s">
        <v>1351</v>
      </c>
      <c r="G58" s="294" t="s">
        <v>1355</v>
      </c>
    </row>
    <row r="59" spans="1:7" s="273" customFormat="1" ht="12.75">
      <c r="A59" s="272"/>
      <c r="B59" s="272"/>
      <c r="C59" s="311"/>
      <c r="D59" s="295" t="s">
        <v>1710</v>
      </c>
      <c r="E59" s="296" t="s">
        <v>1711</v>
      </c>
      <c r="F59" s="293" t="s">
        <v>1351</v>
      </c>
      <c r="G59" s="294" t="s">
        <v>1355</v>
      </c>
    </row>
    <row r="60" spans="1:7" s="273" customFormat="1" ht="12.75">
      <c r="A60" s="302">
        <v>2</v>
      </c>
      <c r="B60" s="302">
        <v>2</v>
      </c>
      <c r="C60" s="303" t="s">
        <v>1320</v>
      </c>
      <c r="D60" s="300" t="s">
        <v>1712</v>
      </c>
      <c r="E60" s="301" t="s">
        <v>1713</v>
      </c>
      <c r="F60" s="298" t="s">
        <v>1351</v>
      </c>
      <c r="G60" s="299" t="s">
        <v>1352</v>
      </c>
    </row>
    <row r="61" spans="1:7" s="273" customFormat="1" ht="12.75">
      <c r="A61" s="272"/>
      <c r="B61" s="272"/>
      <c r="C61" s="311"/>
      <c r="D61" s="295" t="s">
        <v>1714</v>
      </c>
      <c r="E61" s="296" t="s">
        <v>1715</v>
      </c>
      <c r="F61" s="293" t="s">
        <v>1351</v>
      </c>
      <c r="G61" s="294" t="s">
        <v>1355</v>
      </c>
    </row>
    <row r="62" spans="1:7" s="273" customFormat="1" ht="12.75">
      <c r="A62" s="310"/>
      <c r="B62" s="310"/>
      <c r="C62" s="310"/>
      <c r="D62" s="308" t="s">
        <v>1716</v>
      </c>
      <c r="E62" s="309" t="s">
        <v>1717</v>
      </c>
      <c r="F62" s="293" t="s">
        <v>1351</v>
      </c>
      <c r="G62" s="294" t="s">
        <v>1355</v>
      </c>
    </row>
    <row r="63" spans="1:7" s="273" customFormat="1" ht="12.75">
      <c r="A63" s="272"/>
      <c r="B63" s="272"/>
      <c r="C63" s="311"/>
      <c r="D63" s="295" t="s">
        <v>1718</v>
      </c>
      <c r="E63" s="296" t="s">
        <v>1719</v>
      </c>
      <c r="F63" s="293" t="s">
        <v>1351</v>
      </c>
      <c r="G63" s="294" t="s">
        <v>1355</v>
      </c>
    </row>
    <row r="64" spans="1:8" s="273" customFormat="1" ht="12.75">
      <c r="A64" s="307"/>
      <c r="B64" s="307"/>
      <c r="C64" s="311"/>
      <c r="D64" s="304" t="s">
        <v>1720</v>
      </c>
      <c r="E64" s="305" t="s">
        <v>1721</v>
      </c>
      <c r="F64" s="293" t="s">
        <v>1351</v>
      </c>
      <c r="G64" s="294" t="s">
        <v>1355</v>
      </c>
      <c r="H64" s="313"/>
    </row>
    <row r="65" spans="1:7" s="273" customFormat="1" ht="12.75">
      <c r="A65" s="272"/>
      <c r="B65" s="272"/>
      <c r="C65" s="311"/>
      <c r="D65" s="295" t="s">
        <v>1722</v>
      </c>
      <c r="E65" s="296" t="s">
        <v>1723</v>
      </c>
      <c r="F65" s="293" t="s">
        <v>1351</v>
      </c>
      <c r="G65" s="294" t="s">
        <v>1355</v>
      </c>
    </row>
    <row r="66" spans="1:7" s="273" customFormat="1" ht="12.75">
      <c r="A66" s="272"/>
      <c r="B66" s="272"/>
      <c r="C66" s="311"/>
      <c r="D66" s="295" t="s">
        <v>1724</v>
      </c>
      <c r="E66" s="296" t="s">
        <v>1725</v>
      </c>
      <c r="F66" s="293" t="s">
        <v>1351</v>
      </c>
      <c r="G66" s="294" t="s">
        <v>1355</v>
      </c>
    </row>
    <row r="67" spans="1:7" s="273" customFormat="1" ht="12.75">
      <c r="A67" s="272"/>
      <c r="B67" s="272"/>
      <c r="C67" s="311"/>
      <c r="D67" s="295" t="s">
        <v>1726</v>
      </c>
      <c r="E67" s="296" t="s">
        <v>1727</v>
      </c>
      <c r="F67" s="293" t="s">
        <v>1351</v>
      </c>
      <c r="G67" s="294" t="s">
        <v>1355</v>
      </c>
    </row>
    <row r="68" spans="1:7" s="273" customFormat="1" ht="12.75">
      <c r="A68" s="272"/>
      <c r="B68" s="272"/>
      <c r="C68" s="311"/>
      <c r="D68" s="295" t="s">
        <v>1728</v>
      </c>
      <c r="E68" s="296" t="s">
        <v>1729</v>
      </c>
      <c r="F68" s="293" t="s">
        <v>1351</v>
      </c>
      <c r="G68" s="294" t="s">
        <v>1355</v>
      </c>
    </row>
    <row r="69" spans="1:7" s="273" customFormat="1" ht="12.75">
      <c r="A69" s="272"/>
      <c r="B69" s="272"/>
      <c r="C69" s="311"/>
      <c r="D69" s="304" t="s">
        <v>1730</v>
      </c>
      <c r="E69" s="305" t="s">
        <v>1731</v>
      </c>
      <c r="F69" s="293" t="s">
        <v>1351</v>
      </c>
      <c r="G69" s="294" t="s">
        <v>1355</v>
      </c>
    </row>
    <row r="70" spans="1:7" s="273" customFormat="1" ht="12.75">
      <c r="A70" s="272"/>
      <c r="B70" s="272"/>
      <c r="C70" s="311"/>
      <c r="D70" s="295" t="s">
        <v>1732</v>
      </c>
      <c r="E70" s="296" t="s">
        <v>1733</v>
      </c>
      <c r="F70" s="293" t="s">
        <v>1351</v>
      </c>
      <c r="G70" s="294" t="s">
        <v>1355</v>
      </c>
    </row>
    <row r="71" spans="1:7" s="273" customFormat="1" ht="12.75">
      <c r="A71" s="272"/>
      <c r="B71" s="272"/>
      <c r="C71" s="311"/>
      <c r="D71" s="295" t="s">
        <v>1734</v>
      </c>
      <c r="E71" s="296" t="s">
        <v>1735</v>
      </c>
      <c r="F71" s="293" t="s">
        <v>1351</v>
      </c>
      <c r="G71" s="294" t="s">
        <v>1355</v>
      </c>
    </row>
    <row r="72" spans="1:7" s="273" customFormat="1" ht="12.75">
      <c r="A72" s="272"/>
      <c r="B72" s="272"/>
      <c r="C72" s="311"/>
      <c r="D72" s="295" t="s">
        <v>1736</v>
      </c>
      <c r="E72" s="296" t="s">
        <v>1737</v>
      </c>
      <c r="F72" s="293" t="s">
        <v>1351</v>
      </c>
      <c r="G72" s="294" t="s">
        <v>1355</v>
      </c>
    </row>
    <row r="73" spans="1:7" s="273" customFormat="1" ht="12.75">
      <c r="A73" s="272"/>
      <c r="B73" s="272"/>
      <c r="C73" s="311"/>
      <c r="D73" s="304" t="s">
        <v>1738</v>
      </c>
      <c r="E73" s="305" t="s">
        <v>1739</v>
      </c>
      <c r="F73" s="293" t="s">
        <v>1351</v>
      </c>
      <c r="G73" s="294" t="s">
        <v>1355</v>
      </c>
    </row>
    <row r="74" spans="1:7" s="273" customFormat="1" ht="12.75">
      <c r="A74" s="272"/>
      <c r="B74" s="272"/>
      <c r="C74" s="311"/>
      <c r="D74" s="295" t="s">
        <v>1740</v>
      </c>
      <c r="E74" s="296" t="s">
        <v>1741</v>
      </c>
      <c r="F74" s="293" t="s">
        <v>1351</v>
      </c>
      <c r="G74" s="294" t="s">
        <v>1355</v>
      </c>
    </row>
    <row r="75" spans="1:7" s="273" customFormat="1" ht="12.75">
      <c r="A75" s="272"/>
      <c r="B75" s="272"/>
      <c r="C75" s="311"/>
      <c r="D75" s="295" t="s">
        <v>1742</v>
      </c>
      <c r="E75" s="296" t="s">
        <v>1743</v>
      </c>
      <c r="F75" s="293" t="s">
        <v>1351</v>
      </c>
      <c r="G75" s="294" t="s">
        <v>1355</v>
      </c>
    </row>
    <row r="76" spans="1:7" s="273" customFormat="1" ht="12.75">
      <c r="A76" s="272"/>
      <c r="B76" s="272"/>
      <c r="C76" s="311"/>
      <c r="D76" s="314" t="s">
        <v>1744</v>
      </c>
      <c r="E76" s="296" t="s">
        <v>1745</v>
      </c>
      <c r="F76" s="293" t="s">
        <v>1351</v>
      </c>
      <c r="G76" s="294" t="s">
        <v>1355</v>
      </c>
    </row>
    <row r="77" spans="1:7" s="273" customFormat="1" ht="12.75">
      <c r="A77" s="272"/>
      <c r="B77" s="272"/>
      <c r="C77" s="311"/>
      <c r="D77" s="314" t="s">
        <v>1746</v>
      </c>
      <c r="E77" s="296" t="s">
        <v>1747</v>
      </c>
      <c r="F77" s="293" t="s">
        <v>1351</v>
      </c>
      <c r="G77" s="294" t="s">
        <v>1355</v>
      </c>
    </row>
    <row r="78" spans="1:7" s="273" customFormat="1" ht="12.75">
      <c r="A78" s="310"/>
      <c r="B78" s="310"/>
      <c r="C78" s="310"/>
      <c r="D78" s="308" t="s">
        <v>1748</v>
      </c>
      <c r="E78" s="309" t="s">
        <v>1749</v>
      </c>
      <c r="F78" s="293" t="s">
        <v>1351</v>
      </c>
      <c r="G78" s="294" t="s">
        <v>1355</v>
      </c>
    </row>
    <row r="79" spans="1:7" s="273" customFormat="1" ht="12.75">
      <c r="A79" s="272"/>
      <c r="B79" s="272"/>
      <c r="C79" s="311"/>
      <c r="D79" s="304" t="s">
        <v>1750</v>
      </c>
      <c r="E79" s="305" t="s">
        <v>1751</v>
      </c>
      <c r="F79" s="293" t="s">
        <v>1351</v>
      </c>
      <c r="G79" s="294" t="s">
        <v>1355</v>
      </c>
    </row>
    <row r="80" spans="1:7" s="273" customFormat="1" ht="12.75">
      <c r="A80" s="302">
        <v>2</v>
      </c>
      <c r="B80" s="302">
        <v>2</v>
      </c>
      <c r="C80" s="315">
        <v>10</v>
      </c>
      <c r="D80" s="300" t="s">
        <v>1752</v>
      </c>
      <c r="E80" s="301" t="s">
        <v>1753</v>
      </c>
      <c r="F80" s="298" t="s">
        <v>1351</v>
      </c>
      <c r="G80" s="299" t="s">
        <v>1352</v>
      </c>
    </row>
    <row r="81" spans="1:7" s="273" customFormat="1" ht="12.75">
      <c r="A81" s="272"/>
      <c r="B81" s="272"/>
      <c r="C81" s="311"/>
      <c r="D81" s="295" t="s">
        <v>1754</v>
      </c>
      <c r="E81" s="296" t="s">
        <v>1755</v>
      </c>
      <c r="F81" s="293" t="s">
        <v>1351</v>
      </c>
      <c r="G81" s="294" t="s">
        <v>1355</v>
      </c>
    </row>
    <row r="82" spans="1:7" s="273" customFormat="1" ht="12.75">
      <c r="A82" s="310"/>
      <c r="B82" s="310"/>
      <c r="C82" s="310"/>
      <c r="D82" s="308" t="s">
        <v>1756</v>
      </c>
      <c r="E82" s="309" t="s">
        <v>1757</v>
      </c>
      <c r="F82" s="293" t="s">
        <v>1351</v>
      </c>
      <c r="G82" s="294" t="s">
        <v>1355</v>
      </c>
    </row>
    <row r="83" spans="1:7" s="273" customFormat="1" ht="12.75">
      <c r="A83" s="272"/>
      <c r="B83" s="272"/>
      <c r="C83" s="311"/>
      <c r="D83" s="295" t="s">
        <v>1758</v>
      </c>
      <c r="E83" s="296" t="s">
        <v>1759</v>
      </c>
      <c r="F83" s="293" t="s">
        <v>1351</v>
      </c>
      <c r="G83" s="294" t="s">
        <v>1355</v>
      </c>
    </row>
    <row r="84" spans="1:7" s="273" customFormat="1" ht="12.75">
      <c r="A84" s="272"/>
      <c r="B84" s="272"/>
      <c r="C84" s="311"/>
      <c r="D84" s="295" t="s">
        <v>1760</v>
      </c>
      <c r="E84" s="296" t="s">
        <v>1761</v>
      </c>
      <c r="F84" s="293" t="s">
        <v>1351</v>
      </c>
      <c r="G84" s="294" t="s">
        <v>1355</v>
      </c>
    </row>
    <row r="85" spans="1:7" s="273" customFormat="1" ht="12.75">
      <c r="A85" s="272"/>
      <c r="B85" s="272"/>
      <c r="C85" s="311"/>
      <c r="D85" s="295" t="s">
        <v>1762</v>
      </c>
      <c r="E85" s="296" t="s">
        <v>1763</v>
      </c>
      <c r="F85" s="293" t="s">
        <v>1351</v>
      </c>
      <c r="G85" s="294" t="s">
        <v>1355</v>
      </c>
    </row>
    <row r="86" spans="1:7" s="273" customFormat="1" ht="12.75">
      <c r="A86" s="272"/>
      <c r="B86" s="272"/>
      <c r="C86" s="311"/>
      <c r="D86" s="295" t="s">
        <v>1764</v>
      </c>
      <c r="E86" s="296" t="s">
        <v>1765</v>
      </c>
      <c r="F86" s="293" t="s">
        <v>1351</v>
      </c>
      <c r="G86" s="294" t="s">
        <v>1355</v>
      </c>
    </row>
    <row r="87" spans="1:7" s="273" customFormat="1" ht="12.75">
      <c r="A87" s="272"/>
      <c r="B87" s="272"/>
      <c r="C87" s="311"/>
      <c r="D87" s="295" t="s">
        <v>1766</v>
      </c>
      <c r="E87" s="296" t="s">
        <v>1767</v>
      </c>
      <c r="F87" s="293" t="s">
        <v>1351</v>
      </c>
      <c r="G87" s="294" t="s">
        <v>1355</v>
      </c>
    </row>
    <row r="88" spans="1:7" s="273" customFormat="1" ht="12.75">
      <c r="A88" s="272"/>
      <c r="B88" s="272"/>
      <c r="C88" s="311"/>
      <c r="D88" s="314" t="s">
        <v>1768</v>
      </c>
      <c r="E88" s="296" t="s">
        <v>1769</v>
      </c>
      <c r="F88" s="293" t="s">
        <v>1351</v>
      </c>
      <c r="G88" s="294" t="s">
        <v>1355</v>
      </c>
    </row>
    <row r="89" spans="1:7" s="273" customFormat="1" ht="12.75">
      <c r="A89" s="310"/>
      <c r="B89" s="310"/>
      <c r="C89" s="310"/>
      <c r="D89" s="308" t="s">
        <v>1770</v>
      </c>
      <c r="E89" s="309" t="s">
        <v>1771</v>
      </c>
      <c r="F89" s="293" t="s">
        <v>1351</v>
      </c>
      <c r="G89" s="294" t="s">
        <v>1355</v>
      </c>
    </row>
    <row r="90" spans="1:7" s="273" customFormat="1" ht="12.75">
      <c r="A90" s="272"/>
      <c r="B90" s="272"/>
      <c r="C90" s="311"/>
      <c r="D90" s="295" t="s">
        <v>1772</v>
      </c>
      <c r="E90" s="296" t="s">
        <v>1773</v>
      </c>
      <c r="F90" s="293" t="s">
        <v>1351</v>
      </c>
      <c r="G90" s="294" t="s">
        <v>1355</v>
      </c>
    </row>
    <row r="91" spans="1:7" s="273" customFormat="1" ht="12.75">
      <c r="A91" s="302">
        <v>2</v>
      </c>
      <c r="B91" s="302">
        <v>2</v>
      </c>
      <c r="C91" s="315">
        <v>11</v>
      </c>
      <c r="D91" s="300" t="s">
        <v>1774</v>
      </c>
      <c r="E91" s="301" t="s">
        <v>1775</v>
      </c>
      <c r="F91" s="298" t="s">
        <v>1351</v>
      </c>
      <c r="G91" s="299" t="s">
        <v>1352</v>
      </c>
    </row>
    <row r="92" spans="1:7" s="273" customFormat="1" ht="12.75">
      <c r="A92" s="272"/>
      <c r="B92" s="272"/>
      <c r="C92" s="311"/>
      <c r="D92" s="295" t="s">
        <v>1774</v>
      </c>
      <c r="E92" s="296" t="s">
        <v>1776</v>
      </c>
      <c r="F92" s="293" t="s">
        <v>1351</v>
      </c>
      <c r="G92" s="294" t="s">
        <v>1355</v>
      </c>
    </row>
    <row r="93" spans="1:7" s="273" customFormat="1" ht="12.75">
      <c r="A93" s="302">
        <v>2</v>
      </c>
      <c r="B93" s="302">
        <v>2</v>
      </c>
      <c r="C93" s="315">
        <v>19</v>
      </c>
      <c r="D93" s="300" t="s">
        <v>1777</v>
      </c>
      <c r="E93" s="301" t="s">
        <v>1778</v>
      </c>
      <c r="F93" s="298" t="s">
        <v>1351</v>
      </c>
      <c r="G93" s="299" t="s">
        <v>1352</v>
      </c>
    </row>
    <row r="94" spans="1:7" s="273" customFormat="1" ht="12.75">
      <c r="A94" s="272"/>
      <c r="B94" s="272"/>
      <c r="C94" s="311"/>
      <c r="D94" s="295" t="s">
        <v>1779</v>
      </c>
      <c r="E94" s="296" t="s">
        <v>1780</v>
      </c>
      <c r="F94" s="293" t="s">
        <v>1351</v>
      </c>
      <c r="G94" s="294" t="s">
        <v>1355</v>
      </c>
    </row>
    <row r="95" spans="1:7" s="273" customFormat="1" ht="12.75">
      <c r="A95" s="272"/>
      <c r="B95" s="272"/>
      <c r="C95" s="311"/>
      <c r="D95" s="295" t="s">
        <v>1781</v>
      </c>
      <c r="E95" s="296" t="s">
        <v>1782</v>
      </c>
      <c r="F95" s="293" t="s">
        <v>1351</v>
      </c>
      <c r="G95" s="294" t="s">
        <v>1355</v>
      </c>
    </row>
    <row r="96" spans="1:7" s="273" customFormat="1" ht="12.75">
      <c r="A96" s="272"/>
      <c r="B96" s="272"/>
      <c r="C96" s="311"/>
      <c r="D96" s="304" t="s">
        <v>1783</v>
      </c>
      <c r="E96" s="305" t="s">
        <v>1784</v>
      </c>
      <c r="F96" s="293" t="s">
        <v>1351</v>
      </c>
      <c r="G96" s="294" t="s">
        <v>1355</v>
      </c>
    </row>
    <row r="97" spans="1:7" s="273" customFormat="1" ht="12.75">
      <c r="A97" s="316"/>
      <c r="B97" s="316"/>
      <c r="C97" s="317" t="s">
        <v>1787</v>
      </c>
      <c r="D97" s="288" t="s">
        <v>1785</v>
      </c>
      <c r="E97" s="289" t="s">
        <v>1786</v>
      </c>
      <c r="F97" s="286" t="s">
        <v>1351</v>
      </c>
      <c r="G97" s="287" t="s">
        <v>1647</v>
      </c>
    </row>
    <row r="98" spans="1:7" s="273" customFormat="1" ht="12.75">
      <c r="A98" s="302">
        <v>2</v>
      </c>
      <c r="B98" s="302">
        <v>2</v>
      </c>
      <c r="C98" s="315">
        <v>21</v>
      </c>
      <c r="D98" s="300" t="s">
        <v>1788</v>
      </c>
      <c r="E98" s="301" t="s">
        <v>1789</v>
      </c>
      <c r="F98" s="298" t="s">
        <v>1351</v>
      </c>
      <c r="G98" s="299" t="s">
        <v>1352</v>
      </c>
    </row>
    <row r="99" spans="1:7" s="273" customFormat="1" ht="12.75">
      <c r="A99" s="306"/>
      <c r="B99" s="306"/>
      <c r="C99" s="311"/>
      <c r="D99" s="304" t="s">
        <v>1790</v>
      </c>
      <c r="E99" s="305" t="s">
        <v>1791</v>
      </c>
      <c r="F99" s="293" t="s">
        <v>1351</v>
      </c>
      <c r="G99" s="294" t="s">
        <v>1355</v>
      </c>
    </row>
    <row r="100" spans="1:7" s="273" customFormat="1" ht="12.75">
      <c r="A100" s="272"/>
      <c r="B100" s="272"/>
      <c r="C100" s="311"/>
      <c r="D100" s="295" t="s">
        <v>1792</v>
      </c>
      <c r="E100" s="296" t="s">
        <v>1793</v>
      </c>
      <c r="F100" s="293" t="s">
        <v>1351</v>
      </c>
      <c r="G100" s="294" t="s">
        <v>1355</v>
      </c>
    </row>
    <row r="101" spans="1:7" s="273" customFormat="1" ht="12.75">
      <c r="A101" s="272"/>
      <c r="B101" s="272"/>
      <c r="C101" s="311"/>
      <c r="D101" s="295" t="s">
        <v>1794</v>
      </c>
      <c r="E101" s="296" t="s">
        <v>1795</v>
      </c>
      <c r="F101" s="293" t="s">
        <v>1351</v>
      </c>
      <c r="G101" s="294" t="s">
        <v>1355</v>
      </c>
    </row>
    <row r="102" spans="1:7" ht="12.75">
      <c r="A102" s="302">
        <v>2</v>
      </c>
      <c r="B102" s="302">
        <v>2</v>
      </c>
      <c r="C102" s="315">
        <v>22</v>
      </c>
      <c r="D102" s="300" t="s">
        <v>1796</v>
      </c>
      <c r="E102" s="301" t="s">
        <v>1797</v>
      </c>
      <c r="F102" s="298" t="s">
        <v>1351</v>
      </c>
      <c r="G102" s="299" t="s">
        <v>1352</v>
      </c>
    </row>
    <row r="103" spans="4:7" ht="12.75">
      <c r="D103" s="295" t="s">
        <v>1798</v>
      </c>
      <c r="E103" s="296" t="s">
        <v>1799</v>
      </c>
      <c r="F103" s="293" t="s">
        <v>1351</v>
      </c>
      <c r="G103" s="294" t="s">
        <v>1355</v>
      </c>
    </row>
    <row r="104" spans="4:7" ht="12.75">
      <c r="D104" s="295" t="s">
        <v>1800</v>
      </c>
      <c r="E104" s="296" t="s">
        <v>1801</v>
      </c>
      <c r="F104" s="293" t="s">
        <v>1351</v>
      </c>
      <c r="G104" s="294" t="s">
        <v>1355</v>
      </c>
    </row>
    <row r="105" spans="4:7" ht="12.75">
      <c r="D105" s="304" t="s">
        <v>1802</v>
      </c>
      <c r="E105" s="305" t="s">
        <v>1803</v>
      </c>
      <c r="F105" s="293" t="s">
        <v>1351</v>
      </c>
      <c r="G105" s="294" t="s">
        <v>1355</v>
      </c>
    </row>
    <row r="106" spans="4:7" ht="12.75">
      <c r="D106" s="295" t="s">
        <v>1804</v>
      </c>
      <c r="E106" s="296" t="s">
        <v>1805</v>
      </c>
      <c r="F106" s="293" t="s">
        <v>1351</v>
      </c>
      <c r="G106" s="294" t="s">
        <v>1355</v>
      </c>
    </row>
    <row r="107" spans="4:7" ht="12.75">
      <c r="D107" s="295" t="s">
        <v>1806</v>
      </c>
      <c r="E107" s="296" t="s">
        <v>1807</v>
      </c>
      <c r="F107" s="293" t="s">
        <v>1351</v>
      </c>
      <c r="G107" s="294" t="s">
        <v>1355</v>
      </c>
    </row>
    <row r="108" spans="4:7" ht="12.75">
      <c r="D108" s="295" t="s">
        <v>1808</v>
      </c>
      <c r="E108" s="296" t="s">
        <v>1809</v>
      </c>
      <c r="F108" s="293" t="s">
        <v>1351</v>
      </c>
      <c r="G108" s="294" t="s">
        <v>1355</v>
      </c>
    </row>
    <row r="109" spans="3:7" ht="12.75">
      <c r="C109" s="297" t="s">
        <v>1812</v>
      </c>
      <c r="D109" s="288" t="s">
        <v>1810</v>
      </c>
      <c r="E109" s="289" t="s">
        <v>1811</v>
      </c>
      <c r="F109" s="286" t="s">
        <v>1351</v>
      </c>
      <c r="G109" s="287" t="s">
        <v>1647</v>
      </c>
    </row>
    <row r="110" spans="1:7" ht="12.75">
      <c r="A110" s="302">
        <v>2</v>
      </c>
      <c r="B110" s="302">
        <v>2</v>
      </c>
      <c r="C110" s="315">
        <v>31</v>
      </c>
      <c r="D110" s="300" t="s">
        <v>1813</v>
      </c>
      <c r="E110" s="301" t="s">
        <v>1814</v>
      </c>
      <c r="F110" s="298" t="s">
        <v>1351</v>
      </c>
      <c r="G110" s="299" t="s">
        <v>1352</v>
      </c>
    </row>
    <row r="111" spans="4:7" ht="12.75">
      <c r="D111" s="295" t="s">
        <v>1813</v>
      </c>
      <c r="E111" s="296" t="s">
        <v>1815</v>
      </c>
      <c r="F111" s="293" t="s">
        <v>1351</v>
      </c>
      <c r="G111" s="294" t="s">
        <v>1355</v>
      </c>
    </row>
    <row r="112" spans="1:23" s="280" customFormat="1" ht="12.75">
      <c r="A112" s="302">
        <v>2</v>
      </c>
      <c r="B112" s="302">
        <v>2</v>
      </c>
      <c r="C112" s="315">
        <v>32</v>
      </c>
      <c r="D112" s="300" t="s">
        <v>1816</v>
      </c>
      <c r="E112" s="301" t="s">
        <v>1817</v>
      </c>
      <c r="F112" s="298" t="s">
        <v>1351</v>
      </c>
      <c r="G112" s="299" t="s">
        <v>1352</v>
      </c>
      <c r="H112" s="273"/>
      <c r="I112" s="273"/>
      <c r="J112" s="273"/>
      <c r="K112" s="273"/>
      <c r="L112" s="273"/>
      <c r="M112" s="273"/>
      <c r="N112" s="273"/>
      <c r="O112" s="273"/>
      <c r="P112" s="274"/>
      <c r="Q112" s="274"/>
      <c r="R112" s="274"/>
      <c r="S112" s="274"/>
      <c r="T112" s="274"/>
      <c r="U112" s="274"/>
      <c r="V112" s="274"/>
      <c r="W112" s="274"/>
    </row>
    <row r="113" spans="3:23" s="280" customFormat="1" ht="12.75">
      <c r="C113" s="285"/>
      <c r="D113" s="295" t="s">
        <v>1818</v>
      </c>
      <c r="E113" s="296" t="s">
        <v>1819</v>
      </c>
      <c r="F113" s="293" t="s">
        <v>1351</v>
      </c>
      <c r="G113" s="294" t="s">
        <v>1355</v>
      </c>
      <c r="H113" s="273"/>
      <c r="I113" s="273"/>
      <c r="J113" s="273"/>
      <c r="K113" s="273"/>
      <c r="L113" s="273"/>
      <c r="M113" s="273"/>
      <c r="N113" s="273"/>
      <c r="O113" s="273"/>
      <c r="P113" s="274"/>
      <c r="Q113" s="274"/>
      <c r="R113" s="274"/>
      <c r="S113" s="274"/>
      <c r="T113" s="274"/>
      <c r="U113" s="274"/>
      <c r="V113" s="274"/>
      <c r="W113" s="274"/>
    </row>
    <row r="114" spans="1:23" s="280" customFormat="1" ht="12.75">
      <c r="A114" s="322">
        <v>42586</v>
      </c>
      <c r="B114" s="323"/>
      <c r="C114" s="310" t="s">
        <v>1672</v>
      </c>
      <c r="D114" s="320" t="s">
        <v>1820</v>
      </c>
      <c r="E114" s="321" t="s">
        <v>1821</v>
      </c>
      <c r="F114" s="318" t="s">
        <v>1351</v>
      </c>
      <c r="G114" s="319" t="s">
        <v>1355</v>
      </c>
      <c r="H114" s="273"/>
      <c r="I114" s="273"/>
      <c r="J114" s="273"/>
      <c r="K114" s="273"/>
      <c r="L114" s="273"/>
      <c r="M114" s="273"/>
      <c r="N114" s="273"/>
      <c r="O114" s="273"/>
      <c r="P114" s="274"/>
      <c r="Q114" s="274"/>
      <c r="R114" s="274"/>
      <c r="S114" s="274"/>
      <c r="T114" s="274"/>
      <c r="U114" s="274"/>
      <c r="V114" s="274"/>
      <c r="W114" s="274"/>
    </row>
    <row r="115" spans="1:23" s="280" customFormat="1" ht="12.75">
      <c r="A115" s="302">
        <v>2</v>
      </c>
      <c r="B115" s="302">
        <v>2</v>
      </c>
      <c r="C115" s="315">
        <v>33</v>
      </c>
      <c r="D115" s="300" t="s">
        <v>1822</v>
      </c>
      <c r="E115" s="301" t="s">
        <v>1823</v>
      </c>
      <c r="F115" s="298" t="s">
        <v>1351</v>
      </c>
      <c r="G115" s="299" t="s">
        <v>1352</v>
      </c>
      <c r="H115" s="273"/>
      <c r="I115" s="273"/>
      <c r="J115" s="273"/>
      <c r="K115" s="273"/>
      <c r="L115" s="273"/>
      <c r="M115" s="273"/>
      <c r="N115" s="273"/>
      <c r="O115" s="273"/>
      <c r="P115" s="274"/>
      <c r="Q115" s="274"/>
      <c r="R115" s="274"/>
      <c r="S115" s="274"/>
      <c r="T115" s="274"/>
      <c r="U115" s="274"/>
      <c r="V115" s="274"/>
      <c r="W115" s="274"/>
    </row>
    <row r="116" spans="3:23" s="280" customFormat="1" ht="12.75">
      <c r="C116" s="285"/>
      <c r="D116" s="304" t="s">
        <v>1822</v>
      </c>
      <c r="E116" s="305" t="s">
        <v>1824</v>
      </c>
      <c r="F116" s="293" t="s">
        <v>1351</v>
      </c>
      <c r="G116" s="294" t="s">
        <v>1355</v>
      </c>
      <c r="H116" s="273"/>
      <c r="I116" s="273"/>
      <c r="J116" s="273"/>
      <c r="K116" s="273"/>
      <c r="L116" s="273"/>
      <c r="M116" s="273"/>
      <c r="N116" s="273"/>
      <c r="O116" s="273"/>
      <c r="P116" s="274"/>
      <c r="Q116" s="274"/>
      <c r="R116" s="274"/>
      <c r="S116" s="274"/>
      <c r="T116" s="274"/>
      <c r="U116" s="274"/>
      <c r="V116" s="274"/>
      <c r="W116" s="274"/>
    </row>
    <row r="117" spans="1:23" s="280" customFormat="1" ht="12.75">
      <c r="A117" s="302">
        <v>2</v>
      </c>
      <c r="B117" s="302">
        <v>2</v>
      </c>
      <c r="C117" s="315">
        <v>34</v>
      </c>
      <c r="D117" s="300" t="s">
        <v>1825</v>
      </c>
      <c r="E117" s="301" t="s">
        <v>1826</v>
      </c>
      <c r="F117" s="298" t="s">
        <v>1351</v>
      </c>
      <c r="G117" s="299" t="s">
        <v>1352</v>
      </c>
      <c r="H117" s="273"/>
      <c r="I117" s="273"/>
      <c r="J117" s="273"/>
      <c r="K117" s="273"/>
      <c r="L117" s="273"/>
      <c r="M117" s="273"/>
      <c r="N117" s="273"/>
      <c r="O117" s="273"/>
      <c r="P117" s="274"/>
      <c r="Q117" s="274"/>
      <c r="R117" s="274"/>
      <c r="S117" s="274"/>
      <c r="T117" s="274"/>
      <c r="U117" s="274"/>
      <c r="V117" s="274"/>
      <c r="W117" s="274"/>
    </row>
    <row r="118" spans="3:23" s="280" customFormat="1" ht="12.75">
      <c r="C118" s="285"/>
      <c r="D118" s="295" t="s">
        <v>1825</v>
      </c>
      <c r="E118" s="296" t="s">
        <v>1827</v>
      </c>
      <c r="F118" s="293" t="s">
        <v>1351</v>
      </c>
      <c r="G118" s="294" t="s">
        <v>1355</v>
      </c>
      <c r="H118" s="273"/>
      <c r="I118" s="273"/>
      <c r="J118" s="273"/>
      <c r="K118" s="273"/>
      <c r="L118" s="273"/>
      <c r="M118" s="273"/>
      <c r="N118" s="273"/>
      <c r="O118" s="273"/>
      <c r="P118" s="274"/>
      <c r="Q118" s="274"/>
      <c r="R118" s="274"/>
      <c r="S118" s="274"/>
      <c r="T118" s="274"/>
      <c r="U118" s="274"/>
      <c r="V118" s="274"/>
      <c r="W118" s="274"/>
    </row>
    <row r="119" spans="1:23" s="280" customFormat="1" ht="12.75">
      <c r="A119" s="302">
        <v>2</v>
      </c>
      <c r="B119" s="302">
        <v>2</v>
      </c>
      <c r="C119" s="315">
        <v>35</v>
      </c>
      <c r="D119" s="300" t="s">
        <v>1828</v>
      </c>
      <c r="E119" s="301" t="s">
        <v>1829</v>
      </c>
      <c r="F119" s="298" t="s">
        <v>1351</v>
      </c>
      <c r="G119" s="299" t="s">
        <v>1352</v>
      </c>
      <c r="H119" s="273"/>
      <c r="I119" s="273"/>
      <c r="J119" s="273"/>
      <c r="K119" s="273"/>
      <c r="L119" s="273"/>
      <c r="M119" s="273"/>
      <c r="N119" s="273"/>
      <c r="O119" s="273"/>
      <c r="P119" s="274"/>
      <c r="Q119" s="274"/>
      <c r="R119" s="274"/>
      <c r="S119" s="274"/>
      <c r="T119" s="274"/>
      <c r="U119" s="274"/>
      <c r="V119" s="274"/>
      <c r="W119" s="274"/>
    </row>
    <row r="120" spans="3:23" s="280" customFormat="1" ht="12.75">
      <c r="C120" s="285"/>
      <c r="D120" s="304" t="s">
        <v>1828</v>
      </c>
      <c r="E120" s="305" t="s">
        <v>1830</v>
      </c>
      <c r="F120" s="293" t="s">
        <v>1351</v>
      </c>
      <c r="G120" s="294" t="s">
        <v>1355</v>
      </c>
      <c r="H120" s="273"/>
      <c r="I120" s="273"/>
      <c r="J120" s="273"/>
      <c r="K120" s="273"/>
      <c r="L120" s="273"/>
      <c r="M120" s="273"/>
      <c r="N120" s="273"/>
      <c r="O120" s="273"/>
      <c r="P120" s="274"/>
      <c r="Q120" s="274"/>
      <c r="R120" s="274"/>
      <c r="S120" s="274"/>
      <c r="T120" s="274"/>
      <c r="U120" s="274"/>
      <c r="V120" s="274"/>
      <c r="W120" s="274"/>
    </row>
    <row r="121" spans="1:23" s="280" customFormat="1" ht="12.75">
      <c r="A121" s="302">
        <v>2</v>
      </c>
      <c r="B121" s="302">
        <v>2</v>
      </c>
      <c r="C121" s="324">
        <v>36</v>
      </c>
      <c r="D121" s="300" t="s">
        <v>1831</v>
      </c>
      <c r="E121" s="301" t="s">
        <v>1832</v>
      </c>
      <c r="F121" s="298" t="s">
        <v>1351</v>
      </c>
      <c r="G121" s="299" t="s">
        <v>1352</v>
      </c>
      <c r="H121" s="273"/>
      <c r="I121" s="273"/>
      <c r="J121" s="273"/>
      <c r="K121" s="273"/>
      <c r="L121" s="273"/>
      <c r="M121" s="273"/>
      <c r="N121" s="273"/>
      <c r="O121" s="273"/>
      <c r="P121" s="274"/>
      <c r="Q121" s="274"/>
      <c r="R121" s="274"/>
      <c r="S121" s="274"/>
      <c r="T121" s="274"/>
      <c r="U121" s="274"/>
      <c r="V121" s="274"/>
      <c r="W121" s="274"/>
    </row>
    <row r="122" spans="1:23" s="280" customFormat="1" ht="12.75">
      <c r="A122" s="325">
        <v>42144</v>
      </c>
      <c r="B122" s="326"/>
      <c r="C122" s="285"/>
      <c r="D122" s="320" t="s">
        <v>1833</v>
      </c>
      <c r="E122" s="309" t="s">
        <v>1834</v>
      </c>
      <c r="F122" s="293" t="s">
        <v>1351</v>
      </c>
      <c r="G122" s="294" t="s">
        <v>1355</v>
      </c>
      <c r="H122" s="273"/>
      <c r="I122" s="273"/>
      <c r="J122" s="273"/>
      <c r="K122" s="273"/>
      <c r="L122" s="273"/>
      <c r="M122" s="273"/>
      <c r="N122" s="273"/>
      <c r="O122" s="273"/>
      <c r="P122" s="274"/>
      <c r="Q122" s="274"/>
      <c r="R122" s="274"/>
      <c r="S122" s="274"/>
      <c r="T122" s="274"/>
      <c r="U122" s="274"/>
      <c r="V122" s="274"/>
      <c r="W122" s="274"/>
    </row>
    <row r="123" spans="1:23" s="280" customFormat="1" ht="12.75">
      <c r="A123" s="322">
        <v>42144</v>
      </c>
      <c r="B123" s="326"/>
      <c r="C123" s="285"/>
      <c r="D123" s="320" t="s">
        <v>1835</v>
      </c>
      <c r="E123" s="309" t="s">
        <v>1836</v>
      </c>
      <c r="F123" s="293" t="s">
        <v>1351</v>
      </c>
      <c r="G123" s="294" t="s">
        <v>1355</v>
      </c>
      <c r="H123" s="273"/>
      <c r="I123" s="273"/>
      <c r="J123" s="273"/>
      <c r="K123" s="273"/>
      <c r="L123" s="273"/>
      <c r="M123" s="273"/>
      <c r="N123" s="273"/>
      <c r="O123" s="273"/>
      <c r="P123" s="274"/>
      <c r="Q123" s="274"/>
      <c r="R123" s="274"/>
      <c r="S123" s="274"/>
      <c r="T123" s="274"/>
      <c r="U123" s="274"/>
      <c r="V123" s="274"/>
      <c r="W123" s="274"/>
    </row>
    <row r="124" spans="1:23" s="280" customFormat="1" ht="12.75">
      <c r="A124" s="302">
        <v>2</v>
      </c>
      <c r="B124" s="302">
        <v>2</v>
      </c>
      <c r="C124" s="315">
        <v>39</v>
      </c>
      <c r="D124" s="300" t="s">
        <v>1837</v>
      </c>
      <c r="E124" s="301" t="s">
        <v>1838</v>
      </c>
      <c r="F124" s="298" t="s">
        <v>1351</v>
      </c>
      <c r="G124" s="299" t="s">
        <v>1352</v>
      </c>
      <c r="H124" s="273"/>
      <c r="I124" s="273"/>
      <c r="J124" s="273"/>
      <c r="K124" s="273"/>
      <c r="L124" s="273"/>
      <c r="M124" s="273"/>
      <c r="N124" s="273"/>
      <c r="O124" s="273"/>
      <c r="P124" s="274"/>
      <c r="Q124" s="274"/>
      <c r="R124" s="274"/>
      <c r="S124" s="274"/>
      <c r="T124" s="274"/>
      <c r="U124" s="274"/>
      <c r="V124" s="274"/>
      <c r="W124" s="274"/>
    </row>
    <row r="125" spans="3:23" s="280" customFormat="1" ht="12.75">
      <c r="C125" s="285"/>
      <c r="D125" s="295" t="s">
        <v>1837</v>
      </c>
      <c r="E125" s="296" t="s">
        <v>1839</v>
      </c>
      <c r="F125" s="293" t="s">
        <v>1351</v>
      </c>
      <c r="G125" s="294" t="s">
        <v>1355</v>
      </c>
      <c r="H125" s="273"/>
      <c r="I125" s="273"/>
      <c r="J125" s="273"/>
      <c r="K125" s="273"/>
      <c r="L125" s="273"/>
      <c r="M125" s="273"/>
      <c r="N125" s="273"/>
      <c r="O125" s="273"/>
      <c r="P125" s="274"/>
      <c r="Q125" s="274"/>
      <c r="R125" s="274"/>
      <c r="S125" s="274"/>
      <c r="T125" s="274"/>
      <c r="U125" s="274"/>
      <c r="V125" s="274"/>
      <c r="W125" s="274"/>
    </row>
    <row r="126" spans="3:23" s="280" customFormat="1" ht="12.75">
      <c r="C126" s="285"/>
      <c r="D126" s="288" t="s">
        <v>1840</v>
      </c>
      <c r="E126" s="289" t="s">
        <v>1841</v>
      </c>
      <c r="F126" s="286" t="s">
        <v>1351</v>
      </c>
      <c r="G126" s="287" t="s">
        <v>1647</v>
      </c>
      <c r="H126" s="273"/>
      <c r="I126" s="273"/>
      <c r="J126" s="273"/>
      <c r="K126" s="273"/>
      <c r="L126" s="273"/>
      <c r="M126" s="273"/>
      <c r="N126" s="273"/>
      <c r="O126" s="273"/>
      <c r="P126" s="274"/>
      <c r="Q126" s="274"/>
      <c r="R126" s="274"/>
      <c r="S126" s="274"/>
      <c r="T126" s="274"/>
      <c r="U126" s="274"/>
      <c r="V126" s="274"/>
      <c r="W126" s="274"/>
    </row>
    <row r="127" spans="1:23" s="280" customFormat="1" ht="12.75">
      <c r="A127" s="302">
        <v>2</v>
      </c>
      <c r="B127" s="302">
        <v>5</v>
      </c>
      <c r="C127" s="315">
        <v>99</v>
      </c>
      <c r="D127" s="327" t="s">
        <v>1840</v>
      </c>
      <c r="E127" s="292" t="s">
        <v>1842</v>
      </c>
      <c r="F127" s="290" t="s">
        <v>1351</v>
      </c>
      <c r="G127" s="291" t="s">
        <v>1352</v>
      </c>
      <c r="H127" s="273"/>
      <c r="I127" s="273"/>
      <c r="J127" s="273"/>
      <c r="K127" s="273"/>
      <c r="L127" s="273"/>
      <c r="M127" s="273"/>
      <c r="N127" s="273"/>
      <c r="O127" s="273"/>
      <c r="P127" s="274"/>
      <c r="Q127" s="274"/>
      <c r="R127" s="274"/>
      <c r="S127" s="274"/>
      <c r="T127" s="274"/>
      <c r="U127" s="274"/>
      <c r="V127" s="274"/>
      <c r="W127" s="274"/>
    </row>
    <row r="128" spans="3:23" s="280" customFormat="1" ht="12.75">
      <c r="C128" s="285"/>
      <c r="D128" s="330" t="s">
        <v>1840</v>
      </c>
      <c r="E128" s="331" t="s">
        <v>1843</v>
      </c>
      <c r="F128" s="328" t="s">
        <v>1351</v>
      </c>
      <c r="G128" s="329" t="s">
        <v>1355</v>
      </c>
      <c r="H128" s="273"/>
      <c r="I128" s="273"/>
      <c r="J128" s="273"/>
      <c r="K128" s="273"/>
      <c r="L128" s="273"/>
      <c r="M128" s="273"/>
      <c r="N128" s="273"/>
      <c r="O128" s="273"/>
      <c r="P128" s="274"/>
      <c r="Q128" s="274"/>
      <c r="R128" s="274"/>
      <c r="S128" s="274"/>
      <c r="T128" s="274"/>
      <c r="U128" s="274"/>
      <c r="V128" s="274"/>
      <c r="W128" s="274"/>
    </row>
  </sheetData>
  <autoFilter ref="D1:E22"/>
  <printOptions/>
  <pageMargins left="0.31496062992125984" right="0.07874015748031496" top="0.35433070866141736" bottom="0.35433070866141736" header="0.31496062992125984" footer="0.11811023622047245"/>
  <pageSetup fitToHeight="50" horizontalDpi="600" verticalDpi="600" orientation="portrait" paperSize="9" scale="6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Rizzato Daniela</dc:creator>
  <cp:keywords/>
  <dc:description/>
  <cp:lastModifiedBy>GhezAles</cp:lastModifiedBy>
  <cp:lastPrinted>2018-01-11T16:39:16Z</cp:lastPrinted>
  <dcterms:created xsi:type="dcterms:W3CDTF">2018-01-02T09:55:54Z</dcterms:created>
  <dcterms:modified xsi:type="dcterms:W3CDTF">2018-01-16T13:33:43Z</dcterms:modified>
  <cp:category/>
  <cp:version/>
  <cp:contentType/>
  <cp:contentStatus/>
</cp:coreProperties>
</file>