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8460" windowHeight="3990" tabRatio="877" firstSheet="4" activeTab="8"/>
  </bookViews>
  <sheets>
    <sheet name="ISTRUZIONI" sheetId="1" r:id="rId1"/>
    <sheet name="f1COSTO ORARIO Macc. principale" sheetId="2" r:id="rId2"/>
    <sheet name="f2COSTO ORARIO Macc. operatrice" sheetId="3" r:id="rId3"/>
    <sheet name="f3COSTO ORARIO €|ora" sheetId="4" r:id="rId4"/>
    <sheet name="f4Cant1 Alta Mecc con gru esbos" sheetId="5" r:id="rId5"/>
    <sheet name="f5Cant2 alta mecc con caricat " sheetId="6" r:id="rId6"/>
    <sheet name="f6Cant3 bassa mecc con caricat" sheetId="7" r:id="rId7"/>
    <sheet name="f7Cant4 bassa mecc con cipp pic" sheetId="8" r:id="rId8"/>
    <sheet name="f8Cant5cesoia e cipp piccola" sheetId="9" r:id="rId9"/>
  </sheets>
  <definedNames/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B6" authorId="0">
      <text>
        <r>
          <rPr>
            <b/>
            <sz val="8"/>
            <rFont val="Tahoma"/>
            <family val="0"/>
          </rPr>
          <t>La durata in anni è variabile da 8-12 anni.</t>
        </r>
        <r>
          <rPr>
            <sz val="8"/>
            <rFont val="Tahoma"/>
            <family val="0"/>
          </rPr>
          <t xml:space="preserve">
</t>
        </r>
      </text>
    </comment>
    <comment ref="B28" authorId="0">
      <text>
        <r>
          <rPr>
            <b/>
            <sz val="8"/>
            <rFont val="Tahoma"/>
            <family val="2"/>
          </rPr>
          <t>Il numero di ore anno lavorabili è compreso tra 800-1200.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0"/>
          </rPr>
          <t>La durata in anni è variabile da 8-12 anni.</t>
        </r>
        <r>
          <rPr>
            <sz val="8"/>
            <rFont val="Tahoma"/>
            <family val="0"/>
          </rPr>
          <t xml:space="preserve">
</t>
        </r>
      </text>
    </comment>
    <comment ref="G28" authorId="0">
      <text>
        <r>
          <rPr>
            <b/>
            <sz val="8"/>
            <rFont val="Tahoma"/>
            <family val="2"/>
          </rPr>
          <t>Il numero di ore anno lavorabili è compreso tra 800-1200.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A29" authorId="0">
      <text>
        <r>
          <rPr>
            <sz val="8"/>
            <rFont val="Tahoma"/>
            <family val="0"/>
          </rPr>
          <t xml:space="preserve">Variabile da 600 a 1000 ore anno
</t>
        </r>
      </text>
    </comment>
    <comment ref="F29" authorId="0">
      <text>
        <r>
          <rPr>
            <b/>
            <sz val="8"/>
            <rFont val="Tahoma"/>
            <family val="0"/>
          </rPr>
          <t xml:space="preserve"> Considerata la produttività media di questo modello di cippatrice:
500 ore/anno lavorate significa che la piattaforma riesce a produrre 5000 t/anno.</t>
        </r>
        <r>
          <rPr>
            <sz val="8"/>
            <rFont val="Tahoma"/>
            <family val="0"/>
          </rPr>
          <t xml:space="preserve">
</t>
        </r>
      </text>
    </comment>
    <comment ref="H29" authorId="0">
      <text>
        <r>
          <rPr>
            <b/>
            <sz val="8"/>
            <rFont val="Tahoma"/>
            <family val="0"/>
          </rPr>
          <t xml:space="preserve"> Considerata la produttività media di questo modello di cippatrice:
500 ore/anno lavorate significa che la piattaforma riesce a produrre 5000 t/anno.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AIEL - Eliseo Antonini</author>
  </authors>
  <commentList>
    <comment ref="B3" authorId="0">
      <text>
        <r>
          <rPr>
            <b/>
            <sz val="8"/>
            <rFont val="Tahoma"/>
            <family val="0"/>
          </rPr>
          <t xml:space="preserve">Costo lordo del lavoro da contratto nazionale ed integrazioni locali (Regione e Provincia)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B11" authorId="0">
      <text>
        <r>
          <rPr>
            <b/>
            <sz val="8"/>
            <rFont val="Tahoma"/>
            <family val="0"/>
          </rPr>
          <t>Costo Parziale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>Costo Parziale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 </author>
  </authors>
  <commentList>
    <comment ref="B11" authorId="0">
      <text>
        <r>
          <rPr>
            <b/>
            <sz val="8"/>
            <rFont val="Tahoma"/>
            <family val="0"/>
          </rPr>
          <t>Costo Parziale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>Costo Parziale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B11" authorId="0">
      <text>
        <r>
          <rPr>
            <b/>
            <sz val="8"/>
            <rFont val="Tahoma"/>
            <family val="0"/>
          </rPr>
          <t>Costo Parziale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>Costo Parziale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B11" authorId="0">
      <text>
        <r>
          <rPr>
            <b/>
            <sz val="8"/>
            <rFont val="Tahoma"/>
            <family val="0"/>
          </rPr>
          <t>Costo Parziale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>Costo Parziale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 </author>
  </authors>
  <commentList>
    <comment ref="B11" authorId="0">
      <text>
        <r>
          <rPr>
            <b/>
            <sz val="8"/>
            <rFont val="Tahoma"/>
            <family val="0"/>
          </rPr>
          <t>Costo Parziale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>Costo Parziale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<sst xmlns="http://schemas.openxmlformats.org/spreadsheetml/2006/main" count="333" uniqueCount="92">
  <si>
    <t>durata (anni)</t>
  </si>
  <si>
    <t>valore di recupero (Euro)</t>
  </si>
  <si>
    <t xml:space="preserve">fattore posticipazione: q^n </t>
  </si>
  <si>
    <t>fattore q^n-1</t>
  </si>
  <si>
    <t>fattore quota reintegra: r/(q^n-1)</t>
  </si>
  <si>
    <t>fattore svalutazione: (Vi-Vf)</t>
  </si>
  <si>
    <t>quota di manutenzione (Euro/anno)</t>
  </si>
  <si>
    <t>costo unitario lubrificante (Euro/kg)</t>
  </si>
  <si>
    <t>consumo combustibile (litri/ora)</t>
  </si>
  <si>
    <t>consumo lubrificante (kg/ora)</t>
  </si>
  <si>
    <t>costo combustibile (Euro/ora)</t>
  </si>
  <si>
    <t>costo lubrificante (Euro/ora)</t>
  </si>
  <si>
    <t>saggio di interesse sul capitale ( r )</t>
  </si>
  <si>
    <t>potenza (CV)</t>
  </si>
  <si>
    <t>montante unitario (1+saggio interesse)</t>
  </si>
  <si>
    <t>costo unitario combustibile (Euro/litro)</t>
  </si>
  <si>
    <t>costi totali combustibile+lubrificante (Euro/ora)</t>
  </si>
  <si>
    <t>potenza (KW)</t>
  </si>
  <si>
    <t>COSTO ORARIO</t>
  </si>
  <si>
    <t>€/ora</t>
  </si>
  <si>
    <t>MANODOPERA</t>
  </si>
  <si>
    <t>ABBATTITRICE A CESOIA</t>
  </si>
  <si>
    <t>quota di reintegra (Euro/anno)</t>
  </si>
  <si>
    <t>Ore annue lavorabili</t>
  </si>
  <si>
    <t>TRATTRICE A</t>
  </si>
  <si>
    <t>TRATTRICE B</t>
  </si>
  <si>
    <t>Costo annuo</t>
  </si>
  <si>
    <t>costo d'acquisto (Euro)</t>
  </si>
  <si>
    <t>Costi assicurativi (Euro/anno)</t>
  </si>
  <si>
    <t>costi assicurativi (Euro/anno)</t>
  </si>
  <si>
    <t>TRATTRICE 150 CV</t>
  </si>
  <si>
    <t>Giornate lavorabili</t>
  </si>
  <si>
    <t>Trattrice 130</t>
  </si>
  <si>
    <t>Trattrice 150</t>
  </si>
  <si>
    <t>TRATTRICE 170 CV</t>
  </si>
  <si>
    <t>TRATTRICE 130 CV</t>
  </si>
  <si>
    <t>TRATTRICE C</t>
  </si>
  <si>
    <t>ABBATTITRICE a CESOIA</t>
  </si>
  <si>
    <t>PRODUTTIVITA' tq</t>
  </si>
  <si>
    <t>GRU Cesoia</t>
  </si>
  <si>
    <t>GRU esbosco</t>
  </si>
  <si>
    <t>GRU CESOIA</t>
  </si>
  <si>
    <t>GRU ESBOSCO</t>
  </si>
  <si>
    <t>RIMORCHIO</t>
  </si>
  <si>
    <t>Gru Cesoia</t>
  </si>
  <si>
    <t>Abb con Cesoia</t>
  </si>
  <si>
    <t>t/h</t>
  </si>
  <si>
    <t>€/h</t>
  </si>
  <si>
    <t>CONTRIBUTO</t>
  </si>
  <si>
    <t>Gru Esbosco</t>
  </si>
  <si>
    <t>CIPPATURA</t>
  </si>
  <si>
    <t>Trattrice 170</t>
  </si>
  <si>
    <t>Cippatrice con gru</t>
  </si>
  <si>
    <t>CARICATORE FRONTALE</t>
  </si>
  <si>
    <t>€/t</t>
  </si>
  <si>
    <t>€/t tq</t>
  </si>
  <si>
    <t>€/t 35%</t>
  </si>
  <si>
    <t>n° operatori</t>
  </si>
  <si>
    <t>€/h oper.</t>
  </si>
  <si>
    <t>ABBATTIMENTO</t>
  </si>
  <si>
    <t>CONCENTRAMENTO IN CAPEZZAGNA</t>
  </si>
  <si>
    <t>PRODUTTIVITA' w=35%</t>
  </si>
  <si>
    <t>COSTO ORARIO MACCHINE</t>
  </si>
  <si>
    <t>Serve per determinare il costo orario della macchina operatrice senza operatore.</t>
  </si>
  <si>
    <t>CELLE VERDI</t>
  </si>
  <si>
    <t>CELLE ROSSE</t>
  </si>
  <si>
    <t>Dati OBBLIGATORI da inserire da parte dell'utente</t>
  </si>
  <si>
    <t>Dati calcolati non modificabili</t>
  </si>
  <si>
    <t>Caricatore frontale</t>
  </si>
  <si>
    <t>CANTIERE 1 - Alta meccanizzazione con gru e rimorchio per esbosco</t>
  </si>
  <si>
    <t>CANTIERE 2 - Alta meccanizzazione con caricatore frontale per esbosco</t>
  </si>
  <si>
    <t>Caricatore frontale per esbosco</t>
  </si>
  <si>
    <t>CIPPATRICE azionata da trattore</t>
  </si>
  <si>
    <t>CIPPATRICE con motore autonomo</t>
  </si>
  <si>
    <t>Cippatrice con gru e motore autonomo</t>
  </si>
  <si>
    <t>Cippatrice con motore autonomo</t>
  </si>
  <si>
    <t>Motosega</t>
  </si>
  <si>
    <t>motosega</t>
  </si>
  <si>
    <t>CANTIERE 3 - Bassa meccanizzazione (abbattimento con motosega) con caricatore frontale per esbosco</t>
  </si>
  <si>
    <t>Cippatrice piccola azionata da trattore</t>
  </si>
  <si>
    <t>CIPPATRICE media azionata da trattore</t>
  </si>
  <si>
    <t>Cippatrice piccola zionata da trattore</t>
  </si>
  <si>
    <t>Trattore 100 CV</t>
  </si>
  <si>
    <t>TRATTRICE 100 CV</t>
  </si>
  <si>
    <t>Trattrice 100 CV</t>
  </si>
  <si>
    <t>Costo di produzione sul tal quale</t>
  </si>
  <si>
    <t>Costo di produzione  con w=35%)</t>
  </si>
  <si>
    <t>Costo di produzione con w=35%)</t>
  </si>
  <si>
    <t>Costi parziali per l'abbattimento</t>
  </si>
  <si>
    <t>Costi parziali per l'esbosco</t>
  </si>
  <si>
    <t>Costi parziali per la cippatura</t>
  </si>
  <si>
    <t>COLORI DELLE CELLE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</si>
</sst>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%"/>
    <numFmt numFmtId="171" formatCode="#,##0.0"/>
    <numFmt numFmtId="172" formatCode="#,##0.000"/>
    <numFmt numFmtId="173" formatCode="#,##0.0000"/>
    <numFmt numFmtId="174" formatCode="#,##0.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9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2" borderId="1" xfId="0" applyNumberFormat="1" applyFont="1" applyFill="1" applyBorder="1" applyAlignment="1">
      <alignment horizontal="center" vertical="center" wrapText="1"/>
    </xf>
    <xf numFmtId="173" fontId="0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/>
    </xf>
    <xf numFmtId="10" fontId="0" fillId="3" borderId="1" xfId="19" applyNumberFormat="1" applyFont="1" applyFill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3" fontId="0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3" fontId="0" fillId="2" borderId="3" xfId="0" applyNumberFormat="1" applyFont="1" applyFill="1" applyBorder="1" applyAlignment="1">
      <alignment horizontal="center" vertical="center" wrapText="1"/>
    </xf>
    <xf numFmtId="10" fontId="0" fillId="2" borderId="1" xfId="19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173" fontId="0" fillId="2" borderId="1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/>
    </xf>
    <xf numFmtId="4" fontId="0" fillId="2" borderId="4" xfId="0" applyNumberFormat="1" applyFont="1" applyFill="1" applyBorder="1" applyAlignment="1">
      <alignment horizontal="center"/>
    </xf>
    <xf numFmtId="2" fontId="0" fillId="2" borderId="4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" fontId="7" fillId="0" borderId="6" xfId="0" applyNumberFormat="1" applyFont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4" fontId="7" fillId="0" borderId="6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6" borderId="9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3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0" fillId="6" borderId="17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3" xfId="0" applyBorder="1" applyAlignment="1">
      <alignment/>
    </xf>
    <xf numFmtId="2" fontId="6" fillId="4" borderId="18" xfId="0" applyNumberFormat="1" applyFont="1" applyFill="1" applyBorder="1" applyAlignment="1">
      <alignment/>
    </xf>
    <xf numFmtId="2" fontId="6" fillId="4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center" wrapText="1"/>
    </xf>
    <xf numFmtId="171" fontId="0" fillId="3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/>
    </xf>
    <xf numFmtId="0" fontId="6" fillId="7" borderId="1" xfId="0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6" borderId="9" xfId="0" applyFont="1" applyFill="1" applyBorder="1" applyAlignment="1">
      <alignment vertical="center"/>
    </xf>
    <xf numFmtId="0" fontId="0" fillId="6" borderId="17" xfId="0" applyFont="1" applyFill="1" applyBorder="1" applyAlignment="1">
      <alignment vertical="center" wrapText="1"/>
    </xf>
    <xf numFmtId="0" fontId="0" fillId="6" borderId="9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8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6"/>
  <sheetViews>
    <sheetView zoomScale="130" zoomScaleNormal="130" workbookViewId="0" topLeftCell="A1">
      <selection activeCell="B13" sqref="B13:F13"/>
    </sheetView>
  </sheetViews>
  <sheetFormatPr defaultColWidth="9.140625" defaultRowHeight="12.75"/>
  <cols>
    <col min="1" max="1" width="26.421875" style="0" customWidth="1"/>
  </cols>
  <sheetData>
    <row r="5" ht="12.75">
      <c r="A5" s="31" t="s">
        <v>62</v>
      </c>
    </row>
    <row r="6" ht="12.75">
      <c r="A6" s="31"/>
    </row>
    <row r="7" ht="12.75">
      <c r="A7" s="87" t="s">
        <v>63</v>
      </c>
    </row>
    <row r="8" ht="12.75">
      <c r="A8" s="87"/>
    </row>
    <row r="9" ht="12.75">
      <c r="A9" s="87"/>
    </row>
    <row r="10" ht="12.75">
      <c r="A10" s="31"/>
    </row>
    <row r="11" ht="12.75">
      <c r="A11" s="31" t="s">
        <v>91</v>
      </c>
    </row>
    <row r="13" spans="1:6" ht="12.75">
      <c r="A13" s="32" t="s">
        <v>64</v>
      </c>
      <c r="B13" s="93" t="s">
        <v>66</v>
      </c>
      <c r="C13" s="93"/>
      <c r="D13" s="93"/>
      <c r="E13" s="93"/>
      <c r="F13" s="93"/>
    </row>
    <row r="14" spans="2:6" ht="12.75">
      <c r="B14" s="94"/>
      <c r="C14" s="94"/>
      <c r="D14" s="94"/>
      <c r="E14" s="94"/>
      <c r="F14" s="94"/>
    </row>
    <row r="15" spans="2:6" ht="12.75">
      <c r="B15" s="94"/>
      <c r="C15" s="94"/>
      <c r="D15" s="94"/>
      <c r="E15" s="94"/>
      <c r="F15" s="94"/>
    </row>
    <row r="16" spans="1:6" ht="12.75">
      <c r="A16" s="33" t="s">
        <v>65</v>
      </c>
      <c r="B16" s="93" t="s">
        <v>67</v>
      </c>
      <c r="C16" s="93"/>
      <c r="D16" s="93"/>
      <c r="E16" s="93"/>
      <c r="F16" s="93"/>
    </row>
  </sheetData>
  <mergeCells count="3">
    <mergeCell ref="B16:F16"/>
    <mergeCell ref="A7:A9"/>
    <mergeCell ref="B13:F1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workbookViewId="0" topLeftCell="A1">
      <selection activeCell="E39" sqref="E39"/>
    </sheetView>
  </sheetViews>
  <sheetFormatPr defaultColWidth="9.140625" defaultRowHeight="12.75"/>
  <cols>
    <col min="1" max="1" width="42.8515625" style="0" customWidth="1"/>
    <col min="2" max="2" width="15.7109375" style="0" customWidth="1"/>
    <col min="3" max="3" width="16.140625" style="0" customWidth="1"/>
    <col min="4" max="4" width="15.421875" style="0" customWidth="1"/>
    <col min="5" max="5" width="23.7109375" style="0" customWidth="1"/>
    <col min="6" max="6" width="16.57421875" style="0" customWidth="1"/>
    <col min="7" max="7" width="13.7109375" style="0" customWidth="1"/>
  </cols>
  <sheetData>
    <row r="1" spans="2:7" ht="33.75" customHeight="1">
      <c r="B1" s="7" t="s">
        <v>24</v>
      </c>
      <c r="C1" s="7" t="s">
        <v>25</v>
      </c>
      <c r="D1" s="7" t="s">
        <v>36</v>
      </c>
      <c r="E1" s="7" t="s">
        <v>53</v>
      </c>
      <c r="F1" s="7" t="s">
        <v>77</v>
      </c>
      <c r="G1" s="75" t="s">
        <v>83</v>
      </c>
    </row>
    <row r="2" spans="1:7" ht="39.75" customHeight="1">
      <c r="A2" s="25" t="s">
        <v>27</v>
      </c>
      <c r="B2" s="22">
        <f>65000-B3</f>
        <v>65000</v>
      </c>
      <c r="C2" s="22">
        <f>75000-C3</f>
        <v>75000</v>
      </c>
      <c r="D2" s="22">
        <v>130000</v>
      </c>
      <c r="E2" s="22">
        <v>70000</v>
      </c>
      <c r="F2" s="22">
        <v>500</v>
      </c>
      <c r="G2" s="22">
        <v>50000</v>
      </c>
    </row>
    <row r="3" spans="1:7" ht="16.5" customHeight="1">
      <c r="A3" s="25" t="s">
        <v>48</v>
      </c>
      <c r="B3" s="22">
        <v>0</v>
      </c>
      <c r="C3" s="22">
        <v>0</v>
      </c>
      <c r="D3" s="22">
        <v>0</v>
      </c>
      <c r="E3" s="22">
        <v>0</v>
      </c>
      <c r="F3" s="22">
        <v>0</v>
      </c>
      <c r="G3" s="22">
        <v>0</v>
      </c>
    </row>
    <row r="4" spans="1:7" ht="12.75">
      <c r="A4" s="25" t="s">
        <v>13</v>
      </c>
      <c r="B4" s="22">
        <v>130</v>
      </c>
      <c r="C4" s="22">
        <v>150</v>
      </c>
      <c r="D4" s="22">
        <v>170</v>
      </c>
      <c r="E4" s="22">
        <v>70</v>
      </c>
      <c r="F4" s="76">
        <v>3.4</v>
      </c>
      <c r="G4" s="22">
        <v>100</v>
      </c>
    </row>
    <row r="5" spans="1:7" ht="12.75">
      <c r="A5" s="25" t="s">
        <v>17</v>
      </c>
      <c r="B5" s="22">
        <f aca="true" t="shared" si="0" ref="B5:G5">B4*0.735</f>
        <v>95.55</v>
      </c>
      <c r="C5" s="22">
        <f t="shared" si="0"/>
        <v>110.25</v>
      </c>
      <c r="D5" s="22">
        <f t="shared" si="0"/>
        <v>124.95</v>
      </c>
      <c r="E5" s="22">
        <f t="shared" si="0"/>
        <v>51.449999999999996</v>
      </c>
      <c r="F5" s="76">
        <f t="shared" si="0"/>
        <v>2.499</v>
      </c>
      <c r="G5" s="76">
        <f t="shared" si="0"/>
        <v>73.5</v>
      </c>
    </row>
    <row r="6" spans="1:7" ht="12.75">
      <c r="A6" s="29" t="s">
        <v>0</v>
      </c>
      <c r="B6" s="30">
        <v>10</v>
      </c>
      <c r="C6" s="30">
        <v>10</v>
      </c>
      <c r="D6" s="30">
        <v>12</v>
      </c>
      <c r="E6" s="30">
        <v>12</v>
      </c>
      <c r="F6" s="30">
        <v>8</v>
      </c>
      <c r="G6" s="30">
        <v>10</v>
      </c>
    </row>
    <row r="7" spans="1:7" ht="12.75">
      <c r="A7" s="2" t="s">
        <v>1</v>
      </c>
      <c r="B7" s="3">
        <f aca="true" t="shared" si="1" ref="B7:G7">B2*0.1</f>
        <v>6500</v>
      </c>
      <c r="C7" s="3">
        <f t="shared" si="1"/>
        <v>7500</v>
      </c>
      <c r="D7" s="3">
        <f t="shared" si="1"/>
        <v>13000</v>
      </c>
      <c r="E7" s="3">
        <f t="shared" si="1"/>
        <v>7000</v>
      </c>
      <c r="F7" s="3">
        <f t="shared" si="1"/>
        <v>50</v>
      </c>
      <c r="G7" s="3">
        <f t="shared" si="1"/>
        <v>5000</v>
      </c>
    </row>
    <row r="8" spans="1:7" ht="12.75">
      <c r="A8" s="4" t="s">
        <v>12</v>
      </c>
      <c r="B8" s="21">
        <v>0.04</v>
      </c>
      <c r="C8" s="21">
        <v>0.04</v>
      </c>
      <c r="D8" s="21">
        <v>0.04</v>
      </c>
      <c r="E8" s="21">
        <v>0.04</v>
      </c>
      <c r="F8" s="21">
        <v>0.04</v>
      </c>
      <c r="G8" s="21">
        <v>0.04</v>
      </c>
    </row>
    <row r="9" spans="1:7" ht="12.75">
      <c r="A9" s="4" t="s">
        <v>14</v>
      </c>
      <c r="B9" s="1">
        <f aca="true" t="shared" si="2" ref="B9:G9">1+B8</f>
        <v>1.04</v>
      </c>
      <c r="C9" s="1">
        <f t="shared" si="2"/>
        <v>1.04</v>
      </c>
      <c r="D9" s="1">
        <f t="shared" si="2"/>
        <v>1.04</v>
      </c>
      <c r="E9" s="1">
        <f t="shared" si="2"/>
        <v>1.04</v>
      </c>
      <c r="F9" s="1">
        <f t="shared" si="2"/>
        <v>1.04</v>
      </c>
      <c r="G9" s="1">
        <f t="shared" si="2"/>
        <v>1.04</v>
      </c>
    </row>
    <row r="10" spans="1:7" ht="12.75">
      <c r="A10" s="4" t="s">
        <v>2</v>
      </c>
      <c r="B10" s="1">
        <f aca="true" t="shared" si="3" ref="B10:G10">POWER(B9,B6)</f>
        <v>1.4802442849183446</v>
      </c>
      <c r="C10" s="1">
        <f t="shared" si="3"/>
        <v>1.4802442849183446</v>
      </c>
      <c r="D10" s="1">
        <f t="shared" si="3"/>
        <v>1.6010322185676817</v>
      </c>
      <c r="E10" s="1">
        <f t="shared" si="3"/>
        <v>1.6010322185676817</v>
      </c>
      <c r="F10" s="1">
        <f t="shared" si="3"/>
        <v>1.368569050405274</v>
      </c>
      <c r="G10" s="1">
        <f t="shared" si="3"/>
        <v>1.4802442849183446</v>
      </c>
    </row>
    <row r="11" spans="1:7" ht="12.75">
      <c r="A11" s="4" t="s">
        <v>3</v>
      </c>
      <c r="B11" s="1">
        <f aca="true" t="shared" si="4" ref="B11:G11">B10-1</f>
        <v>0.4802442849183446</v>
      </c>
      <c r="C11" s="1">
        <f t="shared" si="4"/>
        <v>0.4802442849183446</v>
      </c>
      <c r="D11" s="1">
        <f t="shared" si="4"/>
        <v>0.6010322185676817</v>
      </c>
      <c r="E11" s="1">
        <f t="shared" si="4"/>
        <v>0.6010322185676817</v>
      </c>
      <c r="F11" s="1">
        <f t="shared" si="4"/>
        <v>0.3685690504052741</v>
      </c>
      <c r="G11" s="1">
        <f t="shared" si="4"/>
        <v>0.4802442849183446</v>
      </c>
    </row>
    <row r="12" spans="1:7" ht="12.75">
      <c r="A12" s="4" t="s">
        <v>4</v>
      </c>
      <c r="B12" s="9">
        <f aca="true" t="shared" si="5" ref="B12:G12">B8/B11</f>
        <v>0.0832909443301364</v>
      </c>
      <c r="C12" s="9">
        <f t="shared" si="5"/>
        <v>0.0832909443301364</v>
      </c>
      <c r="D12" s="9">
        <f t="shared" si="5"/>
        <v>0.06655217268605648</v>
      </c>
      <c r="E12" s="9">
        <f t="shared" si="5"/>
        <v>0.06655217268605648</v>
      </c>
      <c r="F12" s="9">
        <f t="shared" si="5"/>
        <v>0.10852783204671276</v>
      </c>
      <c r="G12" s="9">
        <f t="shared" si="5"/>
        <v>0.0832909443301364</v>
      </c>
    </row>
    <row r="13" spans="1:7" ht="12.75">
      <c r="A13" s="5" t="s">
        <v>5</v>
      </c>
      <c r="B13" s="3">
        <f aca="true" t="shared" si="6" ref="B13:G13">B2-B7</f>
        <v>58500</v>
      </c>
      <c r="C13" s="3">
        <f t="shared" si="6"/>
        <v>67500</v>
      </c>
      <c r="D13" s="3">
        <f t="shared" si="6"/>
        <v>117000</v>
      </c>
      <c r="E13" s="3">
        <f t="shared" si="6"/>
        <v>63000</v>
      </c>
      <c r="F13" s="3">
        <f t="shared" si="6"/>
        <v>450</v>
      </c>
      <c r="G13" s="3">
        <f t="shared" si="6"/>
        <v>45000</v>
      </c>
    </row>
    <row r="14" spans="1:7" ht="12.75">
      <c r="A14" s="2" t="s">
        <v>22</v>
      </c>
      <c r="B14" s="8">
        <f aca="true" t="shared" si="7" ref="B14:G14">B13*B12</f>
        <v>4872.520243312979</v>
      </c>
      <c r="C14" s="8">
        <f t="shared" si="7"/>
        <v>5622.138742284207</v>
      </c>
      <c r="D14" s="8">
        <f t="shared" si="7"/>
        <v>7786.604204268609</v>
      </c>
      <c r="E14" s="8">
        <f t="shared" si="7"/>
        <v>4192.786879221559</v>
      </c>
      <c r="F14" s="8">
        <f t="shared" si="7"/>
        <v>48.837524421020746</v>
      </c>
      <c r="G14" s="8">
        <f t="shared" si="7"/>
        <v>3748.092494856138</v>
      </c>
    </row>
    <row r="15" spans="1:7" ht="12.75">
      <c r="A15" s="2" t="s">
        <v>6</v>
      </c>
      <c r="B15" s="8">
        <f aca="true" t="shared" si="8" ref="B15:G15">(B14)/100*40</f>
        <v>1949.0080973251916</v>
      </c>
      <c r="C15" s="8">
        <f t="shared" si="8"/>
        <v>2248.855496913683</v>
      </c>
      <c r="D15" s="8">
        <f t="shared" si="8"/>
        <v>3114.6416817074437</v>
      </c>
      <c r="E15" s="8">
        <f t="shared" si="8"/>
        <v>1677.1147516886233</v>
      </c>
      <c r="F15" s="8">
        <f t="shared" si="8"/>
        <v>19.535009768408298</v>
      </c>
      <c r="G15" s="8">
        <f t="shared" si="8"/>
        <v>1499.2369979424552</v>
      </c>
    </row>
    <row r="16" spans="1:7" ht="12.75">
      <c r="A16" s="23" t="s">
        <v>15</v>
      </c>
      <c r="B16" s="26">
        <v>0.617</v>
      </c>
      <c r="C16" s="26">
        <v>0.617</v>
      </c>
      <c r="D16" s="26">
        <v>0.517</v>
      </c>
      <c r="E16" s="26">
        <v>0.517</v>
      </c>
      <c r="F16" s="26">
        <v>1.4</v>
      </c>
      <c r="G16" s="26">
        <v>0.617</v>
      </c>
    </row>
    <row r="17" spans="1:7" ht="12.75">
      <c r="A17" s="6" t="s">
        <v>8</v>
      </c>
      <c r="B17" s="1">
        <f aca="true" t="shared" si="9" ref="B17:G17">0.21*B5</f>
        <v>20.0655</v>
      </c>
      <c r="C17" s="1">
        <f t="shared" si="9"/>
        <v>23.1525</v>
      </c>
      <c r="D17" s="1">
        <f t="shared" si="9"/>
        <v>26.2395</v>
      </c>
      <c r="E17" s="1">
        <f t="shared" si="9"/>
        <v>10.804499999999999</v>
      </c>
      <c r="F17" s="1">
        <f t="shared" si="9"/>
        <v>0.52479</v>
      </c>
      <c r="G17" s="1">
        <f t="shared" si="9"/>
        <v>15.434999999999999</v>
      </c>
    </row>
    <row r="18" spans="1:7" ht="12.75">
      <c r="A18" s="6" t="s">
        <v>10</v>
      </c>
      <c r="B18" s="1">
        <f aca="true" t="shared" si="10" ref="B18:G18">B17*B16</f>
        <v>12.3804135</v>
      </c>
      <c r="C18" s="1">
        <f t="shared" si="10"/>
        <v>14.2850925</v>
      </c>
      <c r="D18" s="1">
        <f t="shared" si="10"/>
        <v>13.5658215</v>
      </c>
      <c r="E18" s="1">
        <f t="shared" si="10"/>
        <v>5.585926499999999</v>
      </c>
      <c r="F18" s="1">
        <f t="shared" si="10"/>
        <v>0.734706</v>
      </c>
      <c r="G18" s="1">
        <f t="shared" si="10"/>
        <v>9.523394999999999</v>
      </c>
    </row>
    <row r="19" spans="1:7" ht="12.75">
      <c r="A19" s="10" t="s">
        <v>28</v>
      </c>
      <c r="B19" s="12">
        <v>600</v>
      </c>
      <c r="C19" s="12">
        <f>300</f>
        <v>300</v>
      </c>
      <c r="D19" s="12">
        <v>600</v>
      </c>
      <c r="E19" s="12">
        <v>600</v>
      </c>
      <c r="F19" s="12">
        <v>0</v>
      </c>
      <c r="G19" s="12">
        <v>600</v>
      </c>
    </row>
    <row r="20" spans="1:7" ht="12.75">
      <c r="A20" s="6" t="s">
        <v>7</v>
      </c>
      <c r="B20" s="1">
        <v>4</v>
      </c>
      <c r="C20" s="1">
        <v>4</v>
      </c>
      <c r="D20" s="1">
        <v>4</v>
      </c>
      <c r="E20" s="1">
        <v>4</v>
      </c>
      <c r="F20" s="1">
        <v>4</v>
      </c>
      <c r="G20" s="1">
        <v>4</v>
      </c>
    </row>
    <row r="21" spans="1:7" ht="12.75">
      <c r="A21" s="6" t="s">
        <v>9</v>
      </c>
      <c r="B21" s="1">
        <f>0.006*B5</f>
        <v>0.5733</v>
      </c>
      <c r="C21" s="1">
        <f>0.006*C5</f>
        <v>0.6615</v>
      </c>
      <c r="D21" s="1">
        <f>0.006*D5</f>
        <v>0.7497</v>
      </c>
      <c r="E21" s="1">
        <f>0.006*E5</f>
        <v>0.3087</v>
      </c>
      <c r="F21" s="1">
        <f>0.2*F5</f>
        <v>0.4998</v>
      </c>
      <c r="G21" s="1">
        <f>0.006*G5</f>
        <v>0.441</v>
      </c>
    </row>
    <row r="22" spans="1:7" ht="12.75">
      <c r="A22" s="6" t="s">
        <v>11</v>
      </c>
      <c r="B22" s="1">
        <f aca="true" t="shared" si="11" ref="B22:G22">B21*B20</f>
        <v>2.2932</v>
      </c>
      <c r="C22" s="1">
        <f t="shared" si="11"/>
        <v>2.646</v>
      </c>
      <c r="D22" s="1">
        <f t="shared" si="11"/>
        <v>2.9988</v>
      </c>
      <c r="E22" s="1">
        <f t="shared" si="11"/>
        <v>1.2348</v>
      </c>
      <c r="F22" s="1">
        <f t="shared" si="11"/>
        <v>1.9992</v>
      </c>
      <c r="G22" s="1">
        <f t="shared" si="11"/>
        <v>1.764</v>
      </c>
    </row>
    <row r="24" spans="1:7" ht="25.5">
      <c r="A24" s="6" t="s">
        <v>16</v>
      </c>
      <c r="B24" s="1">
        <f aca="true" t="shared" si="12" ref="B24:G24">B22+B18</f>
        <v>14.6736135</v>
      </c>
      <c r="C24" s="1">
        <f t="shared" si="12"/>
        <v>16.9310925</v>
      </c>
      <c r="D24" s="1">
        <f t="shared" si="12"/>
        <v>16.5646215</v>
      </c>
      <c r="E24" s="1">
        <f t="shared" si="12"/>
        <v>6.820726499999999</v>
      </c>
      <c r="F24" s="1">
        <f t="shared" si="12"/>
        <v>2.733906</v>
      </c>
      <c r="G24" s="1">
        <f t="shared" si="12"/>
        <v>11.287394999999998</v>
      </c>
    </row>
    <row r="26" spans="1:7" ht="12.75">
      <c r="A26" s="19" t="s">
        <v>26</v>
      </c>
      <c r="B26" s="20">
        <f aca="true" t="shared" si="13" ref="B26:G26">B14+B15+B24+B19</f>
        <v>7436.201954138171</v>
      </c>
      <c r="C26" s="20">
        <f t="shared" si="13"/>
        <v>8187.92533169789</v>
      </c>
      <c r="D26" s="20">
        <f t="shared" si="13"/>
        <v>11517.810507476051</v>
      </c>
      <c r="E26" s="20">
        <f t="shared" si="13"/>
        <v>6476.722357410182</v>
      </c>
      <c r="F26" s="20">
        <f t="shared" si="13"/>
        <v>71.10644018942905</v>
      </c>
      <c r="G26" s="20">
        <f t="shared" si="13"/>
        <v>5858.616887798594</v>
      </c>
    </row>
    <row r="28" spans="1:7" ht="12.75">
      <c r="A28" s="23" t="s">
        <v>23</v>
      </c>
      <c r="B28" s="24">
        <f>900</f>
        <v>900</v>
      </c>
      <c r="C28" s="24">
        <v>900</v>
      </c>
      <c r="D28" s="24">
        <v>900</v>
      </c>
      <c r="E28" s="24">
        <v>600</v>
      </c>
      <c r="F28" s="24">
        <v>600</v>
      </c>
      <c r="G28" s="24">
        <f>900</f>
        <v>900</v>
      </c>
    </row>
    <row r="29" spans="1:7" ht="12.75">
      <c r="A29" s="10" t="s">
        <v>31</v>
      </c>
      <c r="B29" s="12">
        <f aca="true" t="shared" si="14" ref="B29:G29">B28/8</f>
        <v>112.5</v>
      </c>
      <c r="C29" s="12">
        <f t="shared" si="14"/>
        <v>112.5</v>
      </c>
      <c r="D29" s="12">
        <f t="shared" si="14"/>
        <v>112.5</v>
      </c>
      <c r="E29" s="12">
        <f t="shared" si="14"/>
        <v>75</v>
      </c>
      <c r="F29" s="12">
        <f t="shared" si="14"/>
        <v>75</v>
      </c>
      <c r="G29" s="12">
        <f t="shared" si="14"/>
        <v>112.5</v>
      </c>
    </row>
    <row r="30" spans="1:7" ht="12.75">
      <c r="A30" s="17"/>
      <c r="B30" s="7"/>
      <c r="C30" s="7"/>
      <c r="D30" s="7"/>
      <c r="E30" s="7"/>
      <c r="F30" s="7"/>
      <c r="G30" s="7"/>
    </row>
    <row r="31" spans="1:7" ht="12.75">
      <c r="A31" s="12" t="s">
        <v>18</v>
      </c>
      <c r="B31" s="14">
        <f aca="true" t="shared" si="15" ref="B31:G31">B26/B28</f>
        <v>8.262446615709079</v>
      </c>
      <c r="C31" s="14">
        <f t="shared" si="15"/>
        <v>9.097694812997656</v>
      </c>
      <c r="D31" s="14">
        <f t="shared" si="15"/>
        <v>12.797567230528946</v>
      </c>
      <c r="E31" s="14">
        <f t="shared" si="15"/>
        <v>10.794537262350303</v>
      </c>
      <c r="F31" s="14">
        <f t="shared" si="15"/>
        <v>0.11851073364904842</v>
      </c>
      <c r="G31" s="14">
        <f t="shared" si="15"/>
        <v>6.509574319776215</v>
      </c>
    </row>
  </sheetData>
  <sheetProtection selectLockedCells="1" selectUnlockedCells="1"/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M15" sqref="M15"/>
    </sheetView>
  </sheetViews>
  <sheetFormatPr defaultColWidth="9.140625" defaultRowHeight="12.75"/>
  <cols>
    <col min="1" max="1" width="39.140625" style="0" customWidth="1"/>
    <col min="2" max="2" width="23.00390625" style="0" customWidth="1"/>
    <col min="3" max="3" width="14.421875" style="0" customWidth="1"/>
    <col min="4" max="4" width="14.140625" style="0" customWidth="1"/>
    <col min="5" max="5" width="13.140625" style="0" customWidth="1"/>
    <col min="6" max="6" width="17.57421875" style="0" customWidth="1"/>
    <col min="7" max="7" width="16.00390625" style="0" customWidth="1"/>
    <col min="8" max="8" width="16.28125" style="0" customWidth="1"/>
  </cols>
  <sheetData>
    <row r="1" spans="2:8" ht="12.75">
      <c r="B1" s="86" t="s">
        <v>37</v>
      </c>
      <c r="C1" s="86" t="s">
        <v>39</v>
      </c>
      <c r="D1" s="86" t="s">
        <v>40</v>
      </c>
      <c r="E1" s="86" t="s">
        <v>43</v>
      </c>
      <c r="F1" s="88" t="s">
        <v>80</v>
      </c>
      <c r="G1" s="88" t="s">
        <v>73</v>
      </c>
      <c r="H1" s="88" t="s">
        <v>79</v>
      </c>
    </row>
    <row r="2" spans="2:8" ht="12.75">
      <c r="B2" s="90"/>
      <c r="C2" s="90"/>
      <c r="D2" s="90"/>
      <c r="E2" s="90"/>
      <c r="F2" s="89"/>
      <c r="G2" s="88"/>
      <c r="H2" s="89"/>
    </row>
    <row r="3" spans="1:8" ht="12.75" customHeight="1">
      <c r="A3" s="29" t="s">
        <v>27</v>
      </c>
      <c r="B3" s="30">
        <f>20000-B4</f>
        <v>20000</v>
      </c>
      <c r="C3" s="30">
        <f>15000-C4</f>
        <v>15000</v>
      </c>
      <c r="D3" s="30">
        <f>10000-D4</f>
        <v>10000</v>
      </c>
      <c r="E3" s="30">
        <f>6000-E4</f>
        <v>6000</v>
      </c>
      <c r="F3" s="30">
        <v>100000</v>
      </c>
      <c r="G3" s="30">
        <v>250000</v>
      </c>
      <c r="H3" s="30">
        <v>15000</v>
      </c>
    </row>
    <row r="4" spans="1:8" ht="12.75">
      <c r="A4" s="29" t="s">
        <v>48</v>
      </c>
      <c r="B4" s="30"/>
      <c r="C4" s="30"/>
      <c r="D4" s="30"/>
      <c r="E4" s="30"/>
      <c r="F4" s="30"/>
      <c r="G4" s="30">
        <v>0</v>
      </c>
      <c r="H4" s="30"/>
    </row>
    <row r="5" spans="1:8" ht="12.75">
      <c r="A5" s="29" t="s">
        <v>13</v>
      </c>
      <c r="B5" s="22"/>
      <c r="C5" s="22"/>
      <c r="D5" s="22"/>
      <c r="E5" s="22"/>
      <c r="F5" s="22"/>
      <c r="G5" s="22">
        <v>450</v>
      </c>
      <c r="H5" s="22"/>
    </row>
    <row r="6" spans="1:8" ht="12.75">
      <c r="A6" s="29" t="s">
        <v>17</v>
      </c>
      <c r="B6" s="22"/>
      <c r="C6" s="22"/>
      <c r="D6" s="22"/>
      <c r="E6" s="22"/>
      <c r="F6" s="22"/>
      <c r="G6" s="22">
        <f>G5*0.735</f>
        <v>330.75</v>
      </c>
      <c r="H6" s="22"/>
    </row>
    <row r="7" spans="1:8" ht="12.75">
      <c r="A7" s="29" t="s">
        <v>0</v>
      </c>
      <c r="B7" s="30">
        <v>8</v>
      </c>
      <c r="C7" s="30">
        <v>12</v>
      </c>
      <c r="D7" s="30">
        <v>12</v>
      </c>
      <c r="E7" s="30">
        <v>12</v>
      </c>
      <c r="F7" s="30">
        <v>8</v>
      </c>
      <c r="G7" s="30">
        <v>12</v>
      </c>
      <c r="H7" s="30">
        <v>8</v>
      </c>
    </row>
    <row r="8" spans="1:8" ht="12.75">
      <c r="A8" s="2" t="s">
        <v>1</v>
      </c>
      <c r="B8" s="8">
        <f>B3*0.1</f>
        <v>2000</v>
      </c>
      <c r="C8" s="8">
        <f>C3*0.1</f>
        <v>1500</v>
      </c>
      <c r="D8" s="8">
        <f>D3*0.1</f>
        <v>1000</v>
      </c>
      <c r="E8" s="8">
        <f>E3*0.1</f>
        <v>600</v>
      </c>
      <c r="F8" s="8">
        <f>F3*0.05</f>
        <v>5000</v>
      </c>
      <c r="G8" s="8">
        <f>G3*0.1</f>
        <v>25000</v>
      </c>
      <c r="H8" s="8">
        <f>H3*0.05</f>
        <v>750</v>
      </c>
    </row>
    <row r="9" spans="1:8" ht="12.75">
      <c r="A9" s="4" t="s">
        <v>12</v>
      </c>
      <c r="B9" s="35">
        <v>0.02</v>
      </c>
      <c r="C9" s="35">
        <v>0.02</v>
      </c>
      <c r="D9" s="35">
        <v>0.02</v>
      </c>
      <c r="E9" s="35">
        <v>0.02</v>
      </c>
      <c r="F9" s="35">
        <v>0.02</v>
      </c>
      <c r="G9" s="35">
        <v>0.04</v>
      </c>
      <c r="H9" s="35">
        <v>0.02</v>
      </c>
    </row>
    <row r="10" spans="1:8" ht="12.75">
      <c r="A10" s="4" t="s">
        <v>14</v>
      </c>
      <c r="B10" s="36">
        <f aca="true" t="shared" si="0" ref="B10:H10">1+B9</f>
        <v>1.02</v>
      </c>
      <c r="C10" s="36">
        <f t="shared" si="0"/>
        <v>1.02</v>
      </c>
      <c r="D10" s="36">
        <f t="shared" si="0"/>
        <v>1.02</v>
      </c>
      <c r="E10" s="36">
        <f t="shared" si="0"/>
        <v>1.02</v>
      </c>
      <c r="F10" s="36">
        <f t="shared" si="0"/>
        <v>1.02</v>
      </c>
      <c r="G10" s="36">
        <f t="shared" si="0"/>
        <v>1.04</v>
      </c>
      <c r="H10" s="36">
        <f t="shared" si="0"/>
        <v>1.02</v>
      </c>
    </row>
    <row r="11" spans="1:8" ht="12.75">
      <c r="A11" s="4" t="s">
        <v>2</v>
      </c>
      <c r="B11" s="36">
        <f aca="true" t="shared" si="1" ref="B11:H11">POWER(B10,B7)</f>
        <v>1.1716593810022655</v>
      </c>
      <c r="C11" s="36">
        <f t="shared" si="1"/>
        <v>1.2682417945625453</v>
      </c>
      <c r="D11" s="36">
        <f t="shared" si="1"/>
        <v>1.2682417945625453</v>
      </c>
      <c r="E11" s="36">
        <f t="shared" si="1"/>
        <v>1.2682417945625453</v>
      </c>
      <c r="F11" s="36">
        <f t="shared" si="1"/>
        <v>1.1716593810022655</v>
      </c>
      <c r="G11" s="36">
        <f t="shared" si="1"/>
        <v>1.6010322185676817</v>
      </c>
      <c r="H11" s="36">
        <f t="shared" si="1"/>
        <v>1.1716593810022655</v>
      </c>
    </row>
    <row r="12" spans="1:8" ht="12.75">
      <c r="A12" s="4" t="s">
        <v>3</v>
      </c>
      <c r="B12" s="36">
        <f aca="true" t="shared" si="2" ref="B12:H12">B11-1</f>
        <v>0.17165938100226552</v>
      </c>
      <c r="C12" s="36">
        <f t="shared" si="2"/>
        <v>0.26824179456254527</v>
      </c>
      <c r="D12" s="36">
        <f t="shared" si="2"/>
        <v>0.26824179456254527</v>
      </c>
      <c r="E12" s="36">
        <f t="shared" si="2"/>
        <v>0.26824179456254527</v>
      </c>
      <c r="F12" s="36">
        <f t="shared" si="2"/>
        <v>0.17165938100226552</v>
      </c>
      <c r="G12" s="36">
        <f t="shared" si="2"/>
        <v>0.6010322185676817</v>
      </c>
      <c r="H12" s="36">
        <f t="shared" si="2"/>
        <v>0.17165938100226552</v>
      </c>
    </row>
    <row r="13" spans="1:8" ht="12.75">
      <c r="A13" s="4" t="s">
        <v>4</v>
      </c>
      <c r="B13" s="37">
        <f aca="true" t="shared" si="3" ref="B13:H13">B9/B12</f>
        <v>0.11650979913376272</v>
      </c>
      <c r="C13" s="37">
        <f t="shared" si="3"/>
        <v>0.0745595966229515</v>
      </c>
      <c r="D13" s="37">
        <f t="shared" si="3"/>
        <v>0.0745595966229515</v>
      </c>
      <c r="E13" s="37">
        <f t="shared" si="3"/>
        <v>0.0745595966229515</v>
      </c>
      <c r="F13" s="37">
        <f t="shared" si="3"/>
        <v>0.11650979913376272</v>
      </c>
      <c r="G13" s="37">
        <f t="shared" si="3"/>
        <v>0.06655217268605648</v>
      </c>
      <c r="H13" s="37">
        <f t="shared" si="3"/>
        <v>0.11650979913376272</v>
      </c>
    </row>
    <row r="14" spans="1:8" ht="12.75">
      <c r="A14" s="5" t="s">
        <v>5</v>
      </c>
      <c r="B14" s="8">
        <f aca="true" t="shared" si="4" ref="B14:G14">B3-B8</f>
        <v>18000</v>
      </c>
      <c r="C14" s="8">
        <f t="shared" si="4"/>
        <v>13500</v>
      </c>
      <c r="D14" s="8">
        <f t="shared" si="4"/>
        <v>9000</v>
      </c>
      <c r="E14" s="8">
        <f t="shared" si="4"/>
        <v>5400</v>
      </c>
      <c r="F14" s="8">
        <f t="shared" si="4"/>
        <v>95000</v>
      </c>
      <c r="G14" s="8">
        <f t="shared" si="4"/>
        <v>225000</v>
      </c>
      <c r="H14" s="8">
        <f>H3-H8</f>
        <v>14250</v>
      </c>
    </row>
    <row r="15" spans="1:8" ht="12.75">
      <c r="A15" s="2" t="s">
        <v>22</v>
      </c>
      <c r="B15" s="8">
        <f aca="true" t="shared" si="5" ref="B15:H15">B14*B13</f>
        <v>2097.176384407729</v>
      </c>
      <c r="C15" s="8">
        <f t="shared" si="5"/>
        <v>1006.5545544098453</v>
      </c>
      <c r="D15" s="8">
        <f t="shared" si="5"/>
        <v>671.0363696065635</v>
      </c>
      <c r="E15" s="8">
        <f t="shared" si="5"/>
        <v>402.6218217639381</v>
      </c>
      <c r="F15" s="8">
        <f t="shared" si="5"/>
        <v>11068.43091770746</v>
      </c>
      <c r="G15" s="8">
        <f t="shared" si="5"/>
        <v>14974.23885436271</v>
      </c>
      <c r="H15" s="8">
        <f t="shared" si="5"/>
        <v>1660.2646376561188</v>
      </c>
    </row>
    <row r="16" spans="1:8" ht="12.75">
      <c r="A16" s="2" t="s">
        <v>6</v>
      </c>
      <c r="B16" s="8">
        <f>(B15)/100*50</f>
        <v>1048.5881922038645</v>
      </c>
      <c r="C16" s="8">
        <f>(C15)/100*50</f>
        <v>503.27727720492265</v>
      </c>
      <c r="D16" s="8">
        <f>(D15)/100*50</f>
        <v>335.51818480328177</v>
      </c>
      <c r="E16" s="8">
        <f>(E15)/100*50</f>
        <v>201.31091088196905</v>
      </c>
      <c r="F16" s="34">
        <f>(F15)/100*50</f>
        <v>5534.21545885373</v>
      </c>
      <c r="G16" s="8">
        <f>(G15)/100*40</f>
        <v>5989.6955417450845</v>
      </c>
      <c r="H16" s="34">
        <f>(H15)/100*50</f>
        <v>830.1323188280595</v>
      </c>
    </row>
    <row r="17" spans="1:8" ht="12.75">
      <c r="A17" s="6" t="s">
        <v>15</v>
      </c>
      <c r="B17" s="1">
        <v>0</v>
      </c>
      <c r="C17" s="1"/>
      <c r="D17" s="1"/>
      <c r="E17" s="1"/>
      <c r="F17" s="1"/>
      <c r="G17" s="26">
        <v>0.517</v>
      </c>
      <c r="H17" s="1"/>
    </row>
    <row r="18" spans="1:8" ht="12.75">
      <c r="A18" s="6" t="s">
        <v>8</v>
      </c>
      <c r="B18" s="1">
        <f>0.21*B6</f>
        <v>0</v>
      </c>
      <c r="C18" s="1">
        <f>0.21*C6</f>
        <v>0</v>
      </c>
      <c r="D18" s="1">
        <f>0.21*D6</f>
        <v>0</v>
      </c>
      <c r="E18" s="1">
        <f>0.21*E6</f>
        <v>0</v>
      </c>
      <c r="F18" s="1"/>
      <c r="G18" s="1">
        <f>0.21*G6</f>
        <v>69.4575</v>
      </c>
      <c r="H18" s="1"/>
    </row>
    <row r="19" spans="1:8" ht="12.75">
      <c r="A19" s="6" t="s">
        <v>10</v>
      </c>
      <c r="B19" s="1">
        <f aca="true" t="shared" si="6" ref="B19:H19">B18*B17</f>
        <v>0</v>
      </c>
      <c r="C19" s="1">
        <f t="shared" si="6"/>
        <v>0</v>
      </c>
      <c r="D19" s="1">
        <f t="shared" si="6"/>
        <v>0</v>
      </c>
      <c r="E19" s="1">
        <f t="shared" si="6"/>
        <v>0</v>
      </c>
      <c r="F19" s="1">
        <f t="shared" si="6"/>
        <v>0</v>
      </c>
      <c r="G19" s="1">
        <f t="shared" si="6"/>
        <v>35.909527499999996</v>
      </c>
      <c r="H19" s="1">
        <f t="shared" si="6"/>
        <v>0</v>
      </c>
    </row>
    <row r="20" spans="1:8" ht="12.75">
      <c r="A20" s="10" t="s">
        <v>29</v>
      </c>
      <c r="B20" s="12">
        <f>300</f>
        <v>300</v>
      </c>
      <c r="C20" s="12">
        <v>100</v>
      </c>
      <c r="D20" s="12">
        <v>100</v>
      </c>
      <c r="E20" s="12">
        <v>100</v>
      </c>
      <c r="F20" s="12">
        <v>500</v>
      </c>
      <c r="G20" s="12">
        <v>600</v>
      </c>
      <c r="H20" s="12">
        <v>500</v>
      </c>
    </row>
    <row r="21" spans="1:8" ht="12.75">
      <c r="A21" s="6" t="s">
        <v>7</v>
      </c>
      <c r="B21" s="1">
        <v>4</v>
      </c>
      <c r="C21" s="1">
        <v>0</v>
      </c>
      <c r="D21" s="1">
        <v>0</v>
      </c>
      <c r="E21" s="1">
        <v>0</v>
      </c>
      <c r="F21" s="1">
        <v>4</v>
      </c>
      <c r="G21" s="1">
        <v>4</v>
      </c>
      <c r="H21" s="1">
        <v>4</v>
      </c>
    </row>
    <row r="22" spans="1:8" ht="12.75">
      <c r="A22" s="6" t="s">
        <v>9</v>
      </c>
      <c r="B22" s="1">
        <f>0.3</f>
        <v>0.3</v>
      </c>
      <c r="C22" s="1">
        <f>0.006*C6</f>
        <v>0</v>
      </c>
      <c r="D22" s="1">
        <f>0.006*D6</f>
        <v>0</v>
      </c>
      <c r="E22" s="1">
        <f>0.006*E6</f>
        <v>0</v>
      </c>
      <c r="F22" s="1">
        <f>0.3</f>
        <v>0.3</v>
      </c>
      <c r="G22" s="1">
        <f>0.006*G6</f>
        <v>1.9845</v>
      </c>
      <c r="H22" s="1">
        <f>0.3</f>
        <v>0.3</v>
      </c>
    </row>
    <row r="23" spans="1:8" ht="12.75">
      <c r="A23" s="6" t="s">
        <v>11</v>
      </c>
      <c r="B23" s="1">
        <f aca="true" t="shared" si="7" ref="B23:H23">B22*B21</f>
        <v>1.2</v>
      </c>
      <c r="C23" s="1">
        <f t="shared" si="7"/>
        <v>0</v>
      </c>
      <c r="D23" s="1">
        <f t="shared" si="7"/>
        <v>0</v>
      </c>
      <c r="E23" s="1">
        <f t="shared" si="7"/>
        <v>0</v>
      </c>
      <c r="F23" s="1">
        <f t="shared" si="7"/>
        <v>1.2</v>
      </c>
      <c r="G23" s="1">
        <f t="shared" si="7"/>
        <v>7.938</v>
      </c>
      <c r="H23" s="1">
        <f t="shared" si="7"/>
        <v>1.2</v>
      </c>
    </row>
    <row r="25" spans="1:8" ht="25.5">
      <c r="A25" s="6" t="s">
        <v>16</v>
      </c>
      <c r="B25" s="1">
        <f aca="true" t="shared" si="8" ref="B25:G25">B23+B19</f>
        <v>1.2</v>
      </c>
      <c r="C25" s="1">
        <f t="shared" si="8"/>
        <v>0</v>
      </c>
      <c r="D25" s="1">
        <f t="shared" si="8"/>
        <v>0</v>
      </c>
      <c r="E25" s="1">
        <f t="shared" si="8"/>
        <v>0</v>
      </c>
      <c r="F25" s="1">
        <f t="shared" si="8"/>
        <v>1.2</v>
      </c>
      <c r="G25" s="1">
        <f t="shared" si="8"/>
        <v>43.8475275</v>
      </c>
      <c r="H25" s="1">
        <f>H23+H19</f>
        <v>1.2</v>
      </c>
    </row>
    <row r="27" spans="1:8" ht="12.75">
      <c r="A27" s="10" t="s">
        <v>26</v>
      </c>
      <c r="B27" s="13">
        <f aca="true" t="shared" si="9" ref="B27:G27">B15+B16+B25+B20</f>
        <v>3446.9645766115937</v>
      </c>
      <c r="C27" s="13">
        <f t="shared" si="9"/>
        <v>1609.831831614768</v>
      </c>
      <c r="D27" s="13">
        <f t="shared" si="9"/>
        <v>1106.5545544098454</v>
      </c>
      <c r="E27" s="13">
        <f t="shared" si="9"/>
        <v>703.9327326459072</v>
      </c>
      <c r="F27" s="13">
        <f t="shared" si="9"/>
        <v>17103.84637656119</v>
      </c>
      <c r="G27" s="74">
        <f t="shared" si="9"/>
        <v>21607.781923607792</v>
      </c>
      <c r="H27" s="13">
        <f>H15+H16+H25+H20</f>
        <v>2991.596956484178</v>
      </c>
    </row>
    <row r="29" spans="1:8" ht="12.75">
      <c r="A29" s="23" t="s">
        <v>23</v>
      </c>
      <c r="B29" s="24">
        <v>900</v>
      </c>
      <c r="C29" s="24">
        <v>800</v>
      </c>
      <c r="D29" s="24">
        <v>800</v>
      </c>
      <c r="E29" s="24">
        <v>800</v>
      </c>
      <c r="F29" s="24">
        <v>500</v>
      </c>
      <c r="G29" s="24">
        <v>300</v>
      </c>
      <c r="H29" s="24">
        <v>600</v>
      </c>
    </row>
    <row r="30" spans="1:8" ht="12.75">
      <c r="A30" s="23" t="s">
        <v>31</v>
      </c>
      <c r="B30" s="24">
        <f aca="true" t="shared" si="10" ref="B30:H30">B29/8</f>
        <v>112.5</v>
      </c>
      <c r="C30" s="24">
        <f t="shared" si="10"/>
        <v>100</v>
      </c>
      <c r="D30" s="24">
        <f t="shared" si="10"/>
        <v>100</v>
      </c>
      <c r="E30" s="24">
        <f t="shared" si="10"/>
        <v>100</v>
      </c>
      <c r="F30" s="24">
        <f t="shared" si="10"/>
        <v>62.5</v>
      </c>
      <c r="G30" s="24">
        <f t="shared" si="10"/>
        <v>37.5</v>
      </c>
      <c r="H30" s="24">
        <f t="shared" si="10"/>
        <v>75</v>
      </c>
    </row>
    <row r="31" spans="1:8" ht="12.75">
      <c r="A31" s="10"/>
      <c r="B31" s="12"/>
      <c r="C31" s="12"/>
      <c r="D31" s="12"/>
      <c r="E31" s="12"/>
      <c r="F31" s="12"/>
      <c r="G31" s="7"/>
      <c r="H31" s="12"/>
    </row>
    <row r="32" spans="1:8" ht="12.75">
      <c r="A32" s="12" t="s">
        <v>18</v>
      </c>
      <c r="B32" s="14">
        <f aca="true" t="shared" si="11" ref="B32:G32">B27/B29</f>
        <v>3.8299606406795483</v>
      </c>
      <c r="C32" s="14">
        <f t="shared" si="11"/>
        <v>2.01228978951846</v>
      </c>
      <c r="D32" s="14">
        <f t="shared" si="11"/>
        <v>1.3831931930123067</v>
      </c>
      <c r="E32" s="14">
        <f t="shared" si="11"/>
        <v>0.879915915807384</v>
      </c>
      <c r="F32" s="14">
        <f t="shared" si="11"/>
        <v>34.20769275312238</v>
      </c>
      <c r="G32" s="14">
        <f t="shared" si="11"/>
        <v>72.02593974535931</v>
      </c>
      <c r="H32" s="14">
        <f>H27/H29</f>
        <v>4.98599492747363</v>
      </c>
    </row>
  </sheetData>
  <mergeCells count="7">
    <mergeCell ref="H1:H2"/>
    <mergeCell ref="G1:G2"/>
    <mergeCell ref="B1:B2"/>
    <mergeCell ref="F1:F2"/>
    <mergeCell ref="C1:C2"/>
    <mergeCell ref="D1:D2"/>
    <mergeCell ref="E1:E2"/>
  </mergeCells>
  <printOptions/>
  <pageMargins left="0.1968503937007874" right="0.1968503937007874" top="0.5905511811023623" bottom="0.5905511811023623" header="0.5118110236220472" footer="0.5118110236220472"/>
  <pageSetup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B29"/>
  <sheetViews>
    <sheetView zoomScale="130" zoomScaleNormal="130" workbookViewId="0" topLeftCell="A14">
      <selection activeCell="D10" sqref="D10"/>
    </sheetView>
  </sheetViews>
  <sheetFormatPr defaultColWidth="9.140625" defaultRowHeight="12.75"/>
  <cols>
    <col min="1" max="1" width="39.421875" style="0" customWidth="1"/>
    <col min="2" max="2" width="6.57421875" style="0" customWidth="1"/>
  </cols>
  <sheetData>
    <row r="1" spans="1:2" ht="17.25" customHeight="1">
      <c r="A1" s="12" t="s">
        <v>18</v>
      </c>
      <c r="B1" s="12" t="s">
        <v>19</v>
      </c>
    </row>
    <row r="3" spans="1:2" ht="12.75">
      <c r="A3" s="11" t="s">
        <v>20</v>
      </c>
      <c r="B3" s="24">
        <v>17</v>
      </c>
    </row>
    <row r="4" spans="1:2" ht="12.75">
      <c r="A4" s="15"/>
      <c r="B4" s="18"/>
    </row>
    <row r="5" spans="1:2" ht="12.75">
      <c r="A5" s="11" t="s">
        <v>35</v>
      </c>
      <c r="B5" s="27">
        <f>'f1COSTO ORARIO Macc. principale'!B31</f>
        <v>8.262446615709079</v>
      </c>
    </row>
    <row r="7" spans="1:2" ht="12.75">
      <c r="A7" s="11" t="s">
        <v>30</v>
      </c>
      <c r="B7" s="27">
        <f>'f1COSTO ORARIO Macc. principale'!C31</f>
        <v>9.097694812997656</v>
      </c>
    </row>
    <row r="8" spans="1:2" ht="12.75">
      <c r="A8" s="15"/>
      <c r="B8" s="16"/>
    </row>
    <row r="9" spans="1:2" ht="12.75">
      <c r="A9" s="11" t="s">
        <v>34</v>
      </c>
      <c r="B9" s="73">
        <f>'f1COSTO ORARIO Macc. principale'!D31</f>
        <v>12.797567230528946</v>
      </c>
    </row>
    <row r="11" spans="1:2" ht="12.75">
      <c r="A11" s="11" t="s">
        <v>21</v>
      </c>
      <c r="B11" s="28">
        <f>'f2COSTO ORARIO Macc. operatrice'!B32</f>
        <v>3.8299606406795483</v>
      </c>
    </row>
    <row r="13" spans="1:2" ht="12.75">
      <c r="A13" s="11" t="s">
        <v>41</v>
      </c>
      <c r="B13" s="28">
        <f>'f2COSTO ORARIO Macc. operatrice'!C32</f>
        <v>2.01228978951846</v>
      </c>
    </row>
    <row r="15" spans="1:2" ht="12.75">
      <c r="A15" s="11" t="s">
        <v>42</v>
      </c>
      <c r="B15" s="28">
        <f>'f2COSTO ORARIO Macc. operatrice'!D32</f>
        <v>1.3831931930123067</v>
      </c>
    </row>
    <row r="17" spans="1:2" ht="12.75">
      <c r="A17" s="11" t="s">
        <v>43</v>
      </c>
      <c r="B17" s="28">
        <f>'f2COSTO ORARIO Macc. operatrice'!E32</f>
        <v>0.879915915807384</v>
      </c>
    </row>
    <row r="19" spans="1:2" ht="12.75">
      <c r="A19" s="11" t="s">
        <v>72</v>
      </c>
      <c r="B19" s="28">
        <f>'f2COSTO ORARIO Macc. operatrice'!F32</f>
        <v>34.20769275312238</v>
      </c>
    </row>
    <row r="21" spans="1:2" ht="12.75">
      <c r="A21" s="71" t="s">
        <v>71</v>
      </c>
      <c r="B21" s="72">
        <f>'f1COSTO ORARIO Macc. principale'!E31</f>
        <v>10.794537262350303</v>
      </c>
    </row>
    <row r="23" spans="1:2" ht="12.75">
      <c r="A23" s="71" t="s">
        <v>75</v>
      </c>
      <c r="B23" s="72">
        <f>'f2COSTO ORARIO Macc. operatrice'!G32</f>
        <v>72.02593974535931</v>
      </c>
    </row>
    <row r="25" spans="1:2" ht="12.75">
      <c r="A25" s="71" t="s">
        <v>76</v>
      </c>
      <c r="B25" s="72">
        <f>'f1COSTO ORARIO Macc. principale'!F31</f>
        <v>0.11851073364904842</v>
      </c>
    </row>
    <row r="27" spans="1:2" ht="12.75">
      <c r="A27" s="71" t="s">
        <v>81</v>
      </c>
      <c r="B27" s="72">
        <f>'f2COSTO ORARIO Macc. operatrice'!H32</f>
        <v>4.98599492747363</v>
      </c>
    </row>
    <row r="29" spans="1:2" ht="12.75">
      <c r="A29" s="71" t="s">
        <v>84</v>
      </c>
      <c r="B29" s="72">
        <f>'f1COSTO ORARIO Macc. principale'!G31</f>
        <v>6.509574319776215</v>
      </c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N19"/>
  <sheetViews>
    <sheetView workbookViewId="0" topLeftCell="A1">
      <selection activeCell="F21" sqref="F21"/>
    </sheetView>
  </sheetViews>
  <sheetFormatPr defaultColWidth="9.140625" defaultRowHeight="12.75"/>
  <cols>
    <col min="1" max="1" width="15.7109375" style="48" customWidth="1"/>
    <col min="2" max="2" width="11.8515625" style="48" customWidth="1"/>
    <col min="3" max="3" width="7.7109375" style="48" customWidth="1"/>
    <col min="4" max="4" width="7.57421875" style="48" customWidth="1"/>
    <col min="5" max="5" width="2.00390625" style="48" customWidth="1"/>
    <col min="6" max="6" width="21.00390625" style="48" customWidth="1"/>
    <col min="7" max="7" width="12.140625" style="48" customWidth="1"/>
    <col min="8" max="8" width="8.28125" style="48" bestFit="1" customWidth="1"/>
    <col min="9" max="9" width="8.8515625" style="48" customWidth="1"/>
    <col min="10" max="10" width="1.7109375" style="48" customWidth="1"/>
    <col min="11" max="11" width="16.00390625" style="48" customWidth="1"/>
    <col min="12" max="12" width="11.7109375" style="48" customWidth="1"/>
    <col min="13" max="16384" width="8.8515625" style="48" customWidth="1"/>
  </cols>
  <sheetData>
    <row r="1" spans="1:8" ht="25.5" customHeight="1">
      <c r="A1" s="91" t="s">
        <v>69</v>
      </c>
      <c r="B1" s="91"/>
      <c r="C1" s="91"/>
      <c r="D1" s="91"/>
      <c r="E1" s="91"/>
      <c r="F1" s="91"/>
      <c r="G1" s="91"/>
      <c r="H1" s="91"/>
    </row>
    <row r="2" ht="13.5" thickBot="1"/>
    <row r="3" spans="1:14" ht="26.25" thickBot="1">
      <c r="A3" s="83" t="s">
        <v>59</v>
      </c>
      <c r="B3" s="80" t="s">
        <v>57</v>
      </c>
      <c r="C3" s="81" t="s">
        <v>58</v>
      </c>
      <c r="D3" s="52" t="s">
        <v>47</v>
      </c>
      <c r="F3" s="84" t="s">
        <v>60</v>
      </c>
      <c r="G3" s="69" t="s">
        <v>57</v>
      </c>
      <c r="H3" s="49" t="s">
        <v>58</v>
      </c>
      <c r="I3" s="50" t="s">
        <v>47</v>
      </c>
      <c r="K3" s="85" t="s">
        <v>50</v>
      </c>
      <c r="L3" s="69" t="s">
        <v>57</v>
      </c>
      <c r="M3" s="49" t="s">
        <v>58</v>
      </c>
      <c r="N3" s="52" t="s">
        <v>47</v>
      </c>
    </row>
    <row r="4" spans="1:14" ht="12.75">
      <c r="A4" s="53" t="s">
        <v>20</v>
      </c>
      <c r="B4" s="54">
        <v>1</v>
      </c>
      <c r="C4" s="54">
        <f>'f3COSTO ORARIO €|ora'!B3</f>
        <v>17</v>
      </c>
      <c r="D4" s="55">
        <f>B4*C4</f>
        <v>17</v>
      </c>
      <c r="F4" s="56" t="s">
        <v>20</v>
      </c>
      <c r="G4" s="57">
        <v>1</v>
      </c>
      <c r="H4" s="57">
        <f>'f3COSTO ORARIO €|ora'!B3</f>
        <v>17</v>
      </c>
      <c r="I4" s="38">
        <f>G4*H4</f>
        <v>17</v>
      </c>
      <c r="K4" s="53" t="s">
        <v>20</v>
      </c>
      <c r="L4" s="57">
        <v>1</v>
      </c>
      <c r="M4" s="57">
        <v>17</v>
      </c>
      <c r="N4" s="55">
        <f>M4*L4</f>
        <v>17</v>
      </c>
    </row>
    <row r="5" spans="1:14" ht="12.75">
      <c r="A5" s="56" t="s">
        <v>33</v>
      </c>
      <c r="B5" s="58"/>
      <c r="C5" s="59"/>
      <c r="D5" s="39">
        <f>'f3COSTO ORARIO €|ora'!B7</f>
        <v>9.097694812997656</v>
      </c>
      <c r="F5" s="56" t="s">
        <v>32</v>
      </c>
      <c r="G5" s="59"/>
      <c r="H5" s="58"/>
      <c r="I5" s="39">
        <f>'f3COSTO ORARIO €|ora'!B5</f>
        <v>8.262446615709079</v>
      </c>
      <c r="K5" s="56" t="s">
        <v>51</v>
      </c>
      <c r="L5" s="59"/>
      <c r="M5" s="58"/>
      <c r="N5" s="39">
        <f>'f3COSTO ORARIO €|ora'!B9</f>
        <v>12.797567230528946</v>
      </c>
    </row>
    <row r="6" spans="1:14" ht="12.75">
      <c r="A6" s="56" t="s">
        <v>45</v>
      </c>
      <c r="B6" s="58"/>
      <c r="C6" s="59"/>
      <c r="D6" s="40">
        <f>'f3COSTO ORARIO €|ora'!B11</f>
        <v>3.8299606406795483</v>
      </c>
      <c r="F6" s="56" t="s">
        <v>49</v>
      </c>
      <c r="G6" s="59"/>
      <c r="H6" s="58"/>
      <c r="I6" s="40">
        <f>'f3COSTO ORARIO €|ora'!B15</f>
        <v>1.3831931930123067</v>
      </c>
      <c r="K6" s="56" t="s">
        <v>52</v>
      </c>
      <c r="L6" s="59"/>
      <c r="M6" s="58"/>
      <c r="N6" s="40">
        <f>'f3COSTO ORARIO €|ora'!B19</f>
        <v>34.20769275312238</v>
      </c>
    </row>
    <row r="7" spans="1:14" ht="12.75">
      <c r="A7" s="56" t="s">
        <v>44</v>
      </c>
      <c r="B7" s="58"/>
      <c r="C7" s="59"/>
      <c r="D7" s="40">
        <f>'f3COSTO ORARIO €|ora'!B13</f>
        <v>2.01228978951846</v>
      </c>
      <c r="F7" s="56"/>
      <c r="G7" s="59"/>
      <c r="H7" s="59"/>
      <c r="I7" s="60"/>
      <c r="K7" s="56"/>
      <c r="L7" s="59"/>
      <c r="M7" s="59"/>
      <c r="N7" s="60"/>
    </row>
    <row r="8" spans="1:14" ht="13.5" thickBot="1">
      <c r="A8" s="61"/>
      <c r="B8" s="62"/>
      <c r="C8" s="62"/>
      <c r="D8" s="63"/>
      <c r="F8" s="61"/>
      <c r="G8" s="64"/>
      <c r="H8" s="64"/>
      <c r="I8" s="63"/>
      <c r="K8" s="61"/>
      <c r="L8" s="64"/>
      <c r="M8" s="64"/>
      <c r="N8" s="63"/>
    </row>
    <row r="9" spans="1:14" ht="13.5" thickTop="1">
      <c r="A9" s="56" t="s">
        <v>38</v>
      </c>
      <c r="B9" s="59" t="s">
        <v>46</v>
      </c>
      <c r="C9" s="57">
        <v>7</v>
      </c>
      <c r="D9" s="60"/>
      <c r="F9" s="56" t="s">
        <v>38</v>
      </c>
      <c r="G9" s="59" t="s">
        <v>46</v>
      </c>
      <c r="H9" s="57">
        <v>4.3</v>
      </c>
      <c r="I9" s="60"/>
      <c r="K9" s="56" t="s">
        <v>38</v>
      </c>
      <c r="L9" s="59" t="s">
        <v>46</v>
      </c>
      <c r="M9" s="57">
        <v>10</v>
      </c>
      <c r="N9" s="60"/>
    </row>
    <row r="10" spans="1:14" ht="25.5">
      <c r="A10" s="70" t="s">
        <v>61</v>
      </c>
      <c r="B10" s="59" t="s">
        <v>46</v>
      </c>
      <c r="C10" s="41">
        <f>C9*0.65</f>
        <v>4.55</v>
      </c>
      <c r="D10" s="60"/>
      <c r="F10" s="56" t="s">
        <v>61</v>
      </c>
      <c r="G10" s="59" t="s">
        <v>46</v>
      </c>
      <c r="H10" s="41">
        <f>H9*0.65</f>
        <v>2.795</v>
      </c>
      <c r="I10" s="60"/>
      <c r="K10" s="70" t="s">
        <v>61</v>
      </c>
      <c r="L10" s="59" t="s">
        <v>46</v>
      </c>
      <c r="M10" s="41">
        <f>M9*0.65</f>
        <v>6.5</v>
      </c>
      <c r="N10" s="60"/>
    </row>
    <row r="11" spans="1:14" ht="12.75">
      <c r="A11" s="56" t="s">
        <v>88</v>
      </c>
      <c r="B11" s="59"/>
      <c r="C11" s="42" t="s">
        <v>55</v>
      </c>
      <c r="D11" s="46">
        <f>SUM(D4:D7)/C9</f>
        <v>4.5628493204565235</v>
      </c>
      <c r="F11" s="56" t="s">
        <v>89</v>
      </c>
      <c r="G11" s="59"/>
      <c r="H11" s="42" t="s">
        <v>55</v>
      </c>
      <c r="I11" s="43">
        <f>SUM(I4:I6)/H9</f>
        <v>6.196660420632881</v>
      </c>
      <c r="K11" s="56" t="s">
        <v>90</v>
      </c>
      <c r="L11" s="59"/>
      <c r="M11" s="42" t="s">
        <v>55</v>
      </c>
      <c r="N11" s="43">
        <f>SUM(N4:N6)/M9</f>
        <v>6.400525998365133</v>
      </c>
    </row>
    <row r="12" spans="1:14" ht="13.5" thickBot="1">
      <c r="A12" s="82" t="s">
        <v>88</v>
      </c>
      <c r="B12" s="65"/>
      <c r="C12" s="44" t="s">
        <v>56</v>
      </c>
      <c r="D12" s="47">
        <f>SUM(D4:D7)/C10</f>
        <v>7.019768185317728</v>
      </c>
      <c r="F12" s="82" t="s">
        <v>89</v>
      </c>
      <c r="G12" s="65"/>
      <c r="H12" s="44" t="s">
        <v>56</v>
      </c>
      <c r="I12" s="45">
        <f>SUM(I4:I6)/H10</f>
        <v>9.533323724050586</v>
      </c>
      <c r="K12" s="82" t="s">
        <v>90</v>
      </c>
      <c r="L12" s="65"/>
      <c r="M12" s="44" t="s">
        <v>56</v>
      </c>
      <c r="N12" s="45">
        <f>SUM(N4:N6)/M10</f>
        <v>9.846963074407897</v>
      </c>
    </row>
    <row r="13" spans="2:3" ht="12.75">
      <c r="B13" s="66"/>
      <c r="C13" s="66"/>
    </row>
    <row r="16" spans="1:4" ht="12.75">
      <c r="A16" s="77" t="s">
        <v>85</v>
      </c>
      <c r="B16" s="77"/>
      <c r="C16" s="78" t="s">
        <v>54</v>
      </c>
      <c r="D16" s="79">
        <f>D11+I11+N11</f>
        <v>17.160035739454536</v>
      </c>
    </row>
    <row r="17" spans="1:4" ht="12.75">
      <c r="A17" s="77" t="s">
        <v>86</v>
      </c>
      <c r="B17" s="77"/>
      <c r="C17" s="78" t="s">
        <v>54</v>
      </c>
      <c r="D17" s="79">
        <f>D12+I12+N12</f>
        <v>26.400054983776208</v>
      </c>
    </row>
    <row r="19" ht="12.75">
      <c r="G19" s="67"/>
    </row>
  </sheetData>
  <mergeCells count="1">
    <mergeCell ref="A1:H1"/>
  </mergeCells>
  <printOptions/>
  <pageMargins left="0.27" right="0.23" top="1" bottom="1" header="0.5" footer="0.5"/>
  <pageSetup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3" sqref="A3:D12"/>
    </sheetView>
  </sheetViews>
  <sheetFormatPr defaultColWidth="9.140625" defaultRowHeight="12.75"/>
  <cols>
    <col min="1" max="1" width="16.7109375" style="48" customWidth="1"/>
    <col min="2" max="2" width="10.8515625" style="48" customWidth="1"/>
    <col min="3" max="3" width="7.7109375" style="48" customWidth="1"/>
    <col min="4" max="4" width="7.57421875" style="48" customWidth="1"/>
    <col min="5" max="5" width="2.00390625" style="48" customWidth="1"/>
    <col min="6" max="6" width="21.00390625" style="48" customWidth="1"/>
    <col min="7" max="7" width="8.140625" style="48" customWidth="1"/>
    <col min="8" max="8" width="8.28125" style="48" bestFit="1" customWidth="1"/>
    <col min="9" max="9" width="8.8515625" style="48" customWidth="1"/>
    <col min="10" max="10" width="1.7109375" style="48" customWidth="1"/>
    <col min="11" max="11" width="16.00390625" style="48" customWidth="1"/>
    <col min="12" max="12" width="8.7109375" style="48" customWidth="1"/>
    <col min="13" max="16384" width="8.8515625" style="48" customWidth="1"/>
  </cols>
  <sheetData>
    <row r="1" spans="1:9" ht="25.5" customHeight="1">
      <c r="A1" s="92" t="s">
        <v>70</v>
      </c>
      <c r="B1" s="92"/>
      <c r="C1" s="92"/>
      <c r="D1" s="92"/>
      <c r="E1" s="92"/>
      <c r="F1" s="92"/>
      <c r="G1" s="92"/>
      <c r="H1" s="92"/>
      <c r="I1" s="92"/>
    </row>
    <row r="2" ht="13.5" thickBot="1"/>
    <row r="3" spans="1:14" ht="39" thickBot="1">
      <c r="A3" s="51" t="s">
        <v>59</v>
      </c>
      <c r="B3" s="80" t="s">
        <v>57</v>
      </c>
      <c r="C3" s="81" t="s">
        <v>58</v>
      </c>
      <c r="D3" s="52" t="s">
        <v>47</v>
      </c>
      <c r="F3" s="68" t="s">
        <v>60</v>
      </c>
      <c r="G3" s="69" t="s">
        <v>57</v>
      </c>
      <c r="H3" s="49" t="s">
        <v>58</v>
      </c>
      <c r="I3" s="50" t="s">
        <v>47</v>
      </c>
      <c r="K3" s="51" t="s">
        <v>50</v>
      </c>
      <c r="L3" s="69" t="s">
        <v>57</v>
      </c>
      <c r="M3" s="49" t="s">
        <v>58</v>
      </c>
      <c r="N3" s="52" t="s">
        <v>47</v>
      </c>
    </row>
    <row r="4" spans="1:14" ht="12.75">
      <c r="A4" s="53" t="s">
        <v>20</v>
      </c>
      <c r="B4" s="54">
        <v>1</v>
      </c>
      <c r="C4" s="54">
        <v>17</v>
      </c>
      <c r="D4" s="55">
        <f>B4*C4</f>
        <v>17</v>
      </c>
      <c r="F4" s="56" t="s">
        <v>20</v>
      </c>
      <c r="G4" s="57">
        <v>1</v>
      </c>
      <c r="H4" s="57">
        <v>17</v>
      </c>
      <c r="I4" s="38">
        <f>G4*H4</f>
        <v>17</v>
      </c>
      <c r="K4" s="53" t="s">
        <v>20</v>
      </c>
      <c r="L4" s="57">
        <v>1</v>
      </c>
      <c r="M4" s="57">
        <v>17</v>
      </c>
      <c r="N4" s="55">
        <f>M4*L4</f>
        <v>17</v>
      </c>
    </row>
    <row r="5" spans="1:14" ht="12.75">
      <c r="A5" s="56" t="s">
        <v>33</v>
      </c>
      <c r="B5" s="58"/>
      <c r="C5" s="59"/>
      <c r="D5" s="39">
        <f>'f3COSTO ORARIO €|ora'!B7</f>
        <v>9.097694812997656</v>
      </c>
      <c r="F5" s="56" t="s">
        <v>68</v>
      </c>
      <c r="G5" s="59"/>
      <c r="H5" s="58"/>
      <c r="I5" s="39">
        <f>'f3COSTO ORARIO €|ora'!B21</f>
        <v>10.794537262350303</v>
      </c>
      <c r="K5" s="56"/>
      <c r="L5" s="59"/>
      <c r="M5" s="58"/>
      <c r="N5" s="39"/>
    </row>
    <row r="6" spans="1:14" ht="12.75">
      <c r="A6" s="56" t="s">
        <v>45</v>
      </c>
      <c r="B6" s="58"/>
      <c r="C6" s="59"/>
      <c r="D6" s="40">
        <f>'f3COSTO ORARIO €|ora'!B11</f>
        <v>3.8299606406795483</v>
      </c>
      <c r="F6" s="56"/>
      <c r="G6" s="59"/>
      <c r="H6" s="58"/>
      <c r="I6" s="40"/>
      <c r="K6" s="56" t="s">
        <v>74</v>
      </c>
      <c r="L6" s="59"/>
      <c r="M6" s="58"/>
      <c r="N6" s="40">
        <f>'f3COSTO ORARIO €|ora'!B23</f>
        <v>72.02593974535931</v>
      </c>
    </row>
    <row r="7" spans="1:14" ht="12.75">
      <c r="A7" s="56" t="s">
        <v>44</v>
      </c>
      <c r="B7" s="58"/>
      <c r="C7" s="59"/>
      <c r="D7" s="40">
        <f>'f3COSTO ORARIO €|ora'!B13</f>
        <v>2.01228978951846</v>
      </c>
      <c r="F7" s="56"/>
      <c r="G7" s="59"/>
      <c r="H7" s="59"/>
      <c r="I7" s="60"/>
      <c r="K7" s="56"/>
      <c r="L7" s="59"/>
      <c r="M7" s="59"/>
      <c r="N7" s="60"/>
    </row>
    <row r="8" spans="1:14" ht="13.5" thickBot="1">
      <c r="A8" s="61"/>
      <c r="B8" s="62"/>
      <c r="C8" s="62"/>
      <c r="D8" s="63"/>
      <c r="F8" s="61"/>
      <c r="G8" s="64"/>
      <c r="H8" s="64"/>
      <c r="I8" s="63"/>
      <c r="K8" s="61"/>
      <c r="L8" s="64"/>
      <c r="M8" s="64"/>
      <c r="N8" s="63"/>
    </row>
    <row r="9" spans="1:14" ht="13.5" thickTop="1">
      <c r="A9" s="56" t="s">
        <v>38</v>
      </c>
      <c r="B9" s="59" t="s">
        <v>46</v>
      </c>
      <c r="C9" s="57">
        <v>7</v>
      </c>
      <c r="D9" s="60"/>
      <c r="F9" s="56" t="s">
        <v>38</v>
      </c>
      <c r="G9" s="59" t="s">
        <v>46</v>
      </c>
      <c r="H9" s="57">
        <v>7</v>
      </c>
      <c r="I9" s="60"/>
      <c r="K9" s="56" t="s">
        <v>38</v>
      </c>
      <c r="L9" s="59" t="s">
        <v>46</v>
      </c>
      <c r="M9" s="57">
        <v>28</v>
      </c>
      <c r="N9" s="60"/>
    </row>
    <row r="10" spans="1:14" ht="25.5">
      <c r="A10" s="70" t="s">
        <v>61</v>
      </c>
      <c r="B10" s="59" t="s">
        <v>46</v>
      </c>
      <c r="C10" s="41">
        <f>C9*0.65</f>
        <v>4.55</v>
      </c>
      <c r="D10" s="60"/>
      <c r="F10" s="56" t="s">
        <v>61</v>
      </c>
      <c r="G10" s="59" t="s">
        <v>46</v>
      </c>
      <c r="H10" s="41">
        <f>H9*0.65</f>
        <v>4.55</v>
      </c>
      <c r="I10" s="60"/>
      <c r="K10" s="70" t="s">
        <v>61</v>
      </c>
      <c r="L10" s="59" t="s">
        <v>46</v>
      </c>
      <c r="M10" s="41">
        <f>M9*0.65</f>
        <v>18.2</v>
      </c>
      <c r="N10" s="60"/>
    </row>
    <row r="11" spans="1:14" ht="12.75">
      <c r="A11" s="56" t="s">
        <v>88</v>
      </c>
      <c r="B11" s="59"/>
      <c r="C11" s="42" t="s">
        <v>55</v>
      </c>
      <c r="D11" s="46">
        <f>SUM(D4:D7)/C9</f>
        <v>4.5628493204565235</v>
      </c>
      <c r="F11" s="56" t="s">
        <v>89</v>
      </c>
      <c r="G11" s="59"/>
      <c r="H11" s="42" t="s">
        <v>55</v>
      </c>
      <c r="I11" s="43">
        <f>SUM(I4:I6)/H9</f>
        <v>3.9706481803357576</v>
      </c>
      <c r="K11" s="56" t="s">
        <v>90</v>
      </c>
      <c r="L11" s="59"/>
      <c r="M11" s="42" t="s">
        <v>55</v>
      </c>
      <c r="N11" s="43">
        <f>SUM(N4:N6)/M9</f>
        <v>3.179497848048547</v>
      </c>
    </row>
    <row r="12" spans="1:14" ht="13.5" thickBot="1">
      <c r="A12" s="82" t="s">
        <v>88</v>
      </c>
      <c r="B12" s="65"/>
      <c r="C12" s="44" t="s">
        <v>56</v>
      </c>
      <c r="D12" s="47">
        <f>SUM(D4:D7)/C10</f>
        <v>7.019768185317728</v>
      </c>
      <c r="F12" s="82" t="s">
        <v>89</v>
      </c>
      <c r="G12" s="65"/>
      <c r="H12" s="44" t="s">
        <v>56</v>
      </c>
      <c r="I12" s="45">
        <f>SUM(I4:I6)/H10</f>
        <v>6.108689508208858</v>
      </c>
      <c r="K12" s="82" t="s">
        <v>90</v>
      </c>
      <c r="L12" s="65"/>
      <c r="M12" s="44" t="s">
        <v>56</v>
      </c>
      <c r="N12" s="45">
        <f>SUM(N4:N6)/M10</f>
        <v>4.891535150843918</v>
      </c>
    </row>
    <row r="13" spans="2:3" ht="12.75">
      <c r="B13" s="66"/>
      <c r="C13" s="66"/>
    </row>
    <row r="14" ht="12.75"/>
    <row r="15" ht="12.75"/>
    <row r="16" spans="1:4" ht="12.75">
      <c r="A16" s="77" t="s">
        <v>85</v>
      </c>
      <c r="B16" s="77"/>
      <c r="C16" s="78" t="s">
        <v>54</v>
      </c>
      <c r="D16" s="79">
        <f>D11+I11+N11</f>
        <v>11.712995348840828</v>
      </c>
    </row>
    <row r="17" spans="1:4" ht="12.75">
      <c r="A17" s="77" t="s">
        <v>87</v>
      </c>
      <c r="B17" s="77"/>
      <c r="C17" s="78" t="s">
        <v>54</v>
      </c>
      <c r="D17" s="79">
        <f>D12+I12+N12</f>
        <v>18.019992844370506</v>
      </c>
    </row>
    <row r="19" ht="12.75">
      <c r="G19" s="67"/>
    </row>
  </sheetData>
  <mergeCells count="1">
    <mergeCell ref="A1:I1"/>
  </mergeCells>
  <printOptions/>
  <pageMargins left="0.3937007874015748" right="0.3937007874015748" top="0.984251968503937" bottom="0.984251968503937" header="0.5118110236220472" footer="0.5118110236220472"/>
  <pageSetup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H29" sqref="H29"/>
    </sheetView>
  </sheetViews>
  <sheetFormatPr defaultColWidth="9.140625" defaultRowHeight="12.75"/>
  <cols>
    <col min="1" max="1" width="15.7109375" style="48" customWidth="1"/>
    <col min="2" max="2" width="11.28125" style="48" customWidth="1"/>
    <col min="3" max="3" width="8.00390625" style="48" customWidth="1"/>
    <col min="4" max="4" width="7.57421875" style="48" customWidth="1"/>
    <col min="5" max="5" width="2.00390625" style="48" customWidth="1"/>
    <col min="6" max="6" width="21.00390625" style="48" customWidth="1"/>
    <col min="7" max="7" width="8.140625" style="48" customWidth="1"/>
    <col min="8" max="8" width="8.28125" style="48" bestFit="1" customWidth="1"/>
    <col min="9" max="9" width="8.8515625" style="48" customWidth="1"/>
    <col min="10" max="10" width="1.7109375" style="48" customWidth="1"/>
    <col min="11" max="11" width="16.00390625" style="48" customWidth="1"/>
    <col min="12" max="12" width="8.7109375" style="48" customWidth="1"/>
    <col min="13" max="16384" width="8.8515625" style="48" customWidth="1"/>
  </cols>
  <sheetData>
    <row r="1" spans="1:9" ht="25.5" customHeight="1">
      <c r="A1" s="92" t="s">
        <v>78</v>
      </c>
      <c r="B1" s="92"/>
      <c r="C1" s="92"/>
      <c r="D1" s="92"/>
      <c r="E1" s="92"/>
      <c r="F1" s="92"/>
      <c r="G1" s="92"/>
      <c r="H1" s="92"/>
      <c r="I1" s="92"/>
    </row>
    <row r="2" ht="13.5" thickBot="1"/>
    <row r="3" spans="1:14" ht="39" thickBot="1">
      <c r="A3" s="51" t="s">
        <v>59</v>
      </c>
      <c r="B3" s="80" t="s">
        <v>57</v>
      </c>
      <c r="C3" s="81" t="s">
        <v>58</v>
      </c>
      <c r="D3" s="52" t="s">
        <v>47</v>
      </c>
      <c r="F3" s="68" t="s">
        <v>60</v>
      </c>
      <c r="G3" s="69" t="s">
        <v>57</v>
      </c>
      <c r="H3" s="49" t="s">
        <v>58</v>
      </c>
      <c r="I3" s="50" t="s">
        <v>47</v>
      </c>
      <c r="K3" s="51" t="s">
        <v>50</v>
      </c>
      <c r="L3" s="69" t="s">
        <v>57</v>
      </c>
      <c r="M3" s="49" t="s">
        <v>58</v>
      </c>
      <c r="N3" s="52" t="s">
        <v>47</v>
      </c>
    </row>
    <row r="4" spans="1:14" ht="12.75">
      <c r="A4" s="53" t="s">
        <v>20</v>
      </c>
      <c r="B4" s="54">
        <v>2</v>
      </c>
      <c r="C4" s="54">
        <v>17</v>
      </c>
      <c r="D4" s="55">
        <f>B4*C4</f>
        <v>34</v>
      </c>
      <c r="F4" s="56" t="s">
        <v>20</v>
      </c>
      <c r="G4" s="57">
        <v>1</v>
      </c>
      <c r="H4" s="57">
        <v>17</v>
      </c>
      <c r="I4" s="38">
        <f>G4*H4</f>
        <v>17</v>
      </c>
      <c r="K4" s="53" t="s">
        <v>20</v>
      </c>
      <c r="L4" s="57">
        <v>1</v>
      </c>
      <c r="M4" s="57">
        <v>17</v>
      </c>
      <c r="N4" s="55">
        <f>M4*L4</f>
        <v>17</v>
      </c>
    </row>
    <row r="5" spans="1:14" ht="12.75">
      <c r="A5" s="56" t="s">
        <v>76</v>
      </c>
      <c r="B5" s="58"/>
      <c r="C5" s="59"/>
      <c r="D5" s="39">
        <f>'f3COSTO ORARIO €|ora'!B25</f>
        <v>0.11851073364904842</v>
      </c>
      <c r="F5" s="56" t="s">
        <v>68</v>
      </c>
      <c r="G5" s="59"/>
      <c r="H5" s="58"/>
      <c r="I5" s="39">
        <f>'f3COSTO ORARIO €|ora'!B21</f>
        <v>10.794537262350303</v>
      </c>
      <c r="K5" s="56"/>
      <c r="L5" s="59"/>
      <c r="M5" s="58"/>
      <c r="N5" s="39"/>
    </row>
    <row r="6" spans="1:14" ht="12.75">
      <c r="A6" s="56"/>
      <c r="B6" s="58"/>
      <c r="C6" s="59"/>
      <c r="D6" s="40"/>
      <c r="F6" s="56"/>
      <c r="G6" s="59"/>
      <c r="H6" s="58"/>
      <c r="I6" s="40"/>
      <c r="K6" s="56" t="s">
        <v>74</v>
      </c>
      <c r="L6" s="59"/>
      <c r="M6" s="58"/>
      <c r="N6" s="40">
        <f>'f3COSTO ORARIO €|ora'!B23</f>
        <v>72.02593974535931</v>
      </c>
    </row>
    <row r="7" spans="1:14" ht="12.75">
      <c r="A7" s="56"/>
      <c r="B7" s="58"/>
      <c r="C7" s="59"/>
      <c r="D7" s="40"/>
      <c r="F7" s="56"/>
      <c r="G7" s="59"/>
      <c r="H7" s="59"/>
      <c r="I7" s="60"/>
      <c r="K7" s="56"/>
      <c r="L7" s="59"/>
      <c r="M7" s="59"/>
      <c r="N7" s="60"/>
    </row>
    <row r="8" spans="1:14" ht="13.5" thickBot="1">
      <c r="A8" s="61"/>
      <c r="B8" s="62"/>
      <c r="C8" s="62"/>
      <c r="D8" s="63"/>
      <c r="F8" s="61"/>
      <c r="G8" s="64"/>
      <c r="H8" s="64"/>
      <c r="I8" s="63"/>
      <c r="K8" s="61"/>
      <c r="L8" s="64"/>
      <c r="M8" s="64"/>
      <c r="N8" s="63"/>
    </row>
    <row r="9" spans="1:14" ht="13.5" thickTop="1">
      <c r="A9" s="56" t="s">
        <v>38</v>
      </c>
      <c r="B9" s="59" t="s">
        <v>46</v>
      </c>
      <c r="C9" s="57">
        <v>1.4</v>
      </c>
      <c r="D9" s="60"/>
      <c r="F9" s="56" t="s">
        <v>38</v>
      </c>
      <c r="G9" s="59" t="s">
        <v>46</v>
      </c>
      <c r="H9" s="57">
        <v>7</v>
      </c>
      <c r="I9" s="60"/>
      <c r="K9" s="56" t="s">
        <v>38</v>
      </c>
      <c r="L9" s="59" t="s">
        <v>46</v>
      </c>
      <c r="M9" s="57">
        <v>28</v>
      </c>
      <c r="N9" s="60"/>
    </row>
    <row r="10" spans="1:14" ht="25.5">
      <c r="A10" s="70" t="s">
        <v>61</v>
      </c>
      <c r="B10" s="59" t="s">
        <v>46</v>
      </c>
      <c r="C10" s="41">
        <f>C9*0.65</f>
        <v>0.9099999999999999</v>
      </c>
      <c r="D10" s="60"/>
      <c r="F10" s="56" t="s">
        <v>61</v>
      </c>
      <c r="G10" s="59" t="s">
        <v>46</v>
      </c>
      <c r="H10" s="41">
        <f>H9*0.65</f>
        <v>4.55</v>
      </c>
      <c r="I10" s="60"/>
      <c r="K10" s="70" t="s">
        <v>61</v>
      </c>
      <c r="L10" s="59" t="s">
        <v>46</v>
      </c>
      <c r="M10" s="41">
        <f>M9*0.65</f>
        <v>18.2</v>
      </c>
      <c r="N10" s="60"/>
    </row>
    <row r="11" spans="1:14" ht="12.75">
      <c r="A11" s="56" t="s">
        <v>88</v>
      </c>
      <c r="B11" s="59"/>
      <c r="C11" s="42" t="s">
        <v>55</v>
      </c>
      <c r="D11" s="46">
        <f>SUM(D4:D7)/C9</f>
        <v>24.37036480974932</v>
      </c>
      <c r="F11" s="56" t="s">
        <v>89</v>
      </c>
      <c r="G11" s="59"/>
      <c r="H11" s="42" t="s">
        <v>55</v>
      </c>
      <c r="I11" s="43">
        <f>SUM(I4:I6)/H9</f>
        <v>3.9706481803357576</v>
      </c>
      <c r="K11" s="56" t="s">
        <v>90</v>
      </c>
      <c r="L11" s="59"/>
      <c r="M11" s="42" t="s">
        <v>55</v>
      </c>
      <c r="N11" s="43">
        <f>SUM(N4:N6)/M9</f>
        <v>3.179497848048547</v>
      </c>
    </row>
    <row r="12" spans="1:14" ht="13.5" thickBot="1">
      <c r="A12" s="82" t="s">
        <v>88</v>
      </c>
      <c r="B12" s="65"/>
      <c r="C12" s="44" t="s">
        <v>56</v>
      </c>
      <c r="D12" s="47">
        <f>SUM(D4:D7)/C10</f>
        <v>37.49286893807588</v>
      </c>
      <c r="F12" s="82" t="s">
        <v>89</v>
      </c>
      <c r="G12" s="65"/>
      <c r="H12" s="44" t="s">
        <v>56</v>
      </c>
      <c r="I12" s="45">
        <f>SUM(I4:I6)/H10</f>
        <v>6.108689508208858</v>
      </c>
      <c r="K12" s="82" t="s">
        <v>90</v>
      </c>
      <c r="L12" s="65"/>
      <c r="M12" s="44" t="s">
        <v>56</v>
      </c>
      <c r="N12" s="45">
        <f>SUM(N4:N6)/M10</f>
        <v>4.891535150843918</v>
      </c>
    </row>
    <row r="13" spans="2:3" ht="12.75">
      <c r="B13" s="66"/>
      <c r="C13" s="66"/>
    </row>
    <row r="14" ht="12.75"/>
    <row r="15" ht="12.75"/>
    <row r="16" spans="1:4" ht="12.75">
      <c r="A16" s="77" t="s">
        <v>85</v>
      </c>
      <c r="B16" s="77"/>
      <c r="C16" s="78" t="s">
        <v>54</v>
      </c>
      <c r="D16" s="79">
        <f>D11+I11+N11</f>
        <v>31.520510838133625</v>
      </c>
    </row>
    <row r="17" spans="1:4" ht="12.75">
      <c r="A17" s="77" t="s">
        <v>87</v>
      </c>
      <c r="B17" s="77"/>
      <c r="C17" s="78" t="s">
        <v>54</v>
      </c>
      <c r="D17" s="79">
        <f>D12+I12+N12</f>
        <v>48.49309359712866</v>
      </c>
    </row>
    <row r="19" ht="12.75">
      <c r="G19" s="67"/>
    </row>
  </sheetData>
  <mergeCells count="1">
    <mergeCell ref="A1:I1"/>
  </mergeCells>
  <printOptions/>
  <pageMargins left="0.5905511811023623" right="0.5905511811023623" top="0.984251968503937" bottom="0.984251968503937" header="0.5118110236220472" footer="0.5118110236220472"/>
  <pageSetup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D3" sqref="A3:D12"/>
    </sheetView>
  </sheetViews>
  <sheetFormatPr defaultColWidth="9.140625" defaultRowHeight="12.75"/>
  <cols>
    <col min="1" max="1" width="15.7109375" style="48" customWidth="1"/>
    <col min="2" max="2" width="11.28125" style="48" customWidth="1"/>
    <col min="3" max="3" width="7.7109375" style="48" customWidth="1"/>
    <col min="4" max="4" width="7.57421875" style="48" customWidth="1"/>
    <col min="5" max="5" width="2.00390625" style="48" customWidth="1"/>
    <col min="6" max="6" width="21.00390625" style="48" customWidth="1"/>
    <col min="7" max="7" width="8.140625" style="48" customWidth="1"/>
    <col min="8" max="8" width="8.28125" style="48" bestFit="1" customWidth="1"/>
    <col min="9" max="9" width="8.8515625" style="48" customWidth="1"/>
    <col min="10" max="10" width="1.7109375" style="48" customWidth="1"/>
    <col min="11" max="11" width="16.00390625" style="48" customWidth="1"/>
    <col min="12" max="12" width="8.7109375" style="48" customWidth="1"/>
    <col min="13" max="16384" width="8.8515625" style="48" customWidth="1"/>
  </cols>
  <sheetData>
    <row r="1" spans="1:9" ht="25.5" customHeight="1">
      <c r="A1" s="92" t="s">
        <v>78</v>
      </c>
      <c r="B1" s="92"/>
      <c r="C1" s="92"/>
      <c r="D1" s="92"/>
      <c r="E1" s="92"/>
      <c r="F1" s="92"/>
      <c r="G1" s="92"/>
      <c r="H1" s="92"/>
      <c r="I1" s="92"/>
    </row>
    <row r="2" ht="13.5" thickBot="1"/>
    <row r="3" spans="1:14" ht="39" thickBot="1">
      <c r="A3" s="51" t="s">
        <v>59</v>
      </c>
      <c r="B3" s="80" t="s">
        <v>57</v>
      </c>
      <c r="C3" s="81" t="s">
        <v>58</v>
      </c>
      <c r="D3" s="52" t="s">
        <v>47</v>
      </c>
      <c r="F3" s="68" t="s">
        <v>60</v>
      </c>
      <c r="G3" s="69" t="s">
        <v>57</v>
      </c>
      <c r="H3" s="49" t="s">
        <v>58</v>
      </c>
      <c r="I3" s="50" t="s">
        <v>47</v>
      </c>
      <c r="K3" s="51" t="s">
        <v>50</v>
      </c>
      <c r="L3" s="69" t="s">
        <v>57</v>
      </c>
      <c r="M3" s="49" t="s">
        <v>58</v>
      </c>
      <c r="N3" s="52" t="s">
        <v>47</v>
      </c>
    </row>
    <row r="4" spans="1:14" ht="12.75">
      <c r="A4" s="53" t="s">
        <v>20</v>
      </c>
      <c r="B4" s="54">
        <v>2</v>
      </c>
      <c r="C4" s="54">
        <v>17</v>
      </c>
      <c r="D4" s="55">
        <f>B4*C4</f>
        <v>34</v>
      </c>
      <c r="F4" s="56" t="s">
        <v>20</v>
      </c>
      <c r="G4" s="57">
        <v>1</v>
      </c>
      <c r="H4" s="57">
        <v>17</v>
      </c>
      <c r="I4" s="38">
        <f>G4*H4</f>
        <v>17</v>
      </c>
      <c r="K4" s="53" t="s">
        <v>20</v>
      </c>
      <c r="L4" s="57">
        <v>2</v>
      </c>
      <c r="M4" s="57">
        <v>17</v>
      </c>
      <c r="N4" s="55">
        <f>M4*L4</f>
        <v>34</v>
      </c>
    </row>
    <row r="5" spans="1:14" ht="12.75">
      <c r="A5" s="56" t="s">
        <v>76</v>
      </c>
      <c r="B5" s="58"/>
      <c r="C5" s="59"/>
      <c r="D5" s="39">
        <f>'f3COSTO ORARIO €|ora'!B25</f>
        <v>0.11851073364904842</v>
      </c>
      <c r="F5" s="56" t="s">
        <v>68</v>
      </c>
      <c r="G5" s="59"/>
      <c r="H5" s="58"/>
      <c r="I5" s="39">
        <f>'f3COSTO ORARIO €|ora'!B21</f>
        <v>10.794537262350303</v>
      </c>
      <c r="K5" s="56" t="s">
        <v>82</v>
      </c>
      <c r="L5" s="59"/>
      <c r="M5" s="58"/>
      <c r="N5" s="39">
        <f>'f3COSTO ORARIO €|ora'!B29</f>
        <v>6.509574319776215</v>
      </c>
    </row>
    <row r="6" spans="1:14" ht="12.75">
      <c r="A6" s="56"/>
      <c r="B6" s="58"/>
      <c r="C6" s="59"/>
      <c r="D6" s="40"/>
      <c r="F6" s="56"/>
      <c r="G6" s="59"/>
      <c r="H6" s="58"/>
      <c r="I6" s="40"/>
      <c r="K6" s="56" t="s">
        <v>79</v>
      </c>
      <c r="L6" s="59"/>
      <c r="M6" s="58"/>
      <c r="N6" s="40">
        <f>'f3COSTO ORARIO €|ora'!B27</f>
        <v>4.98599492747363</v>
      </c>
    </row>
    <row r="7" spans="1:14" ht="12.75">
      <c r="A7" s="56"/>
      <c r="B7" s="58"/>
      <c r="C7" s="59"/>
      <c r="D7" s="40"/>
      <c r="F7" s="56"/>
      <c r="G7" s="59"/>
      <c r="H7" s="59"/>
      <c r="I7" s="60"/>
      <c r="K7" s="56"/>
      <c r="L7" s="59"/>
      <c r="M7" s="59"/>
      <c r="N7" s="60"/>
    </row>
    <row r="8" spans="1:14" ht="13.5" thickBot="1">
      <c r="A8" s="61"/>
      <c r="B8" s="62"/>
      <c r="C8" s="62"/>
      <c r="D8" s="63"/>
      <c r="F8" s="61"/>
      <c r="G8" s="64"/>
      <c r="H8" s="64"/>
      <c r="I8" s="63"/>
      <c r="K8" s="61"/>
      <c r="L8" s="64"/>
      <c r="M8" s="64"/>
      <c r="N8" s="63"/>
    </row>
    <row r="9" spans="1:14" ht="13.5" thickTop="1">
      <c r="A9" s="56" t="s">
        <v>38</v>
      </c>
      <c r="B9" s="59" t="s">
        <v>46</v>
      </c>
      <c r="C9" s="57">
        <v>1.4</v>
      </c>
      <c r="D9" s="60"/>
      <c r="F9" s="56" t="s">
        <v>38</v>
      </c>
      <c r="G9" s="59" t="s">
        <v>46</v>
      </c>
      <c r="H9" s="57">
        <v>7</v>
      </c>
      <c r="I9" s="60"/>
      <c r="K9" s="56" t="s">
        <v>38</v>
      </c>
      <c r="L9" s="59" t="s">
        <v>46</v>
      </c>
      <c r="M9" s="57">
        <v>1.5</v>
      </c>
      <c r="N9" s="60"/>
    </row>
    <row r="10" spans="1:14" ht="25.5">
      <c r="A10" s="70" t="s">
        <v>61</v>
      </c>
      <c r="B10" s="59" t="s">
        <v>46</v>
      </c>
      <c r="C10" s="41">
        <f>C9*0.65</f>
        <v>0.9099999999999999</v>
      </c>
      <c r="D10" s="60"/>
      <c r="F10" s="56" t="s">
        <v>61</v>
      </c>
      <c r="G10" s="59" t="s">
        <v>46</v>
      </c>
      <c r="H10" s="41">
        <f>H9*0.65</f>
        <v>4.55</v>
      </c>
      <c r="I10" s="60"/>
      <c r="K10" s="70" t="s">
        <v>61</v>
      </c>
      <c r="L10" s="59" t="s">
        <v>46</v>
      </c>
      <c r="M10" s="41">
        <f>M9*0.65</f>
        <v>0.9750000000000001</v>
      </c>
      <c r="N10" s="60"/>
    </row>
    <row r="11" spans="1:14" ht="12.75">
      <c r="A11" s="56" t="s">
        <v>88</v>
      </c>
      <c r="B11" s="59"/>
      <c r="C11" s="42" t="s">
        <v>55</v>
      </c>
      <c r="D11" s="46">
        <f>SUM(D4:D7)/C9</f>
        <v>24.37036480974932</v>
      </c>
      <c r="F11" s="56" t="s">
        <v>89</v>
      </c>
      <c r="G11" s="59"/>
      <c r="H11" s="42" t="s">
        <v>55</v>
      </c>
      <c r="I11" s="43">
        <f>SUM(I4:I6)/H9</f>
        <v>3.9706481803357576</v>
      </c>
      <c r="K11" s="56" t="s">
        <v>90</v>
      </c>
      <c r="L11" s="59"/>
      <c r="M11" s="42" t="s">
        <v>55</v>
      </c>
      <c r="N11" s="43">
        <f>SUM(N4:N6)/M9</f>
        <v>30.330379498166565</v>
      </c>
    </row>
    <row r="12" spans="1:14" ht="13.5" thickBot="1">
      <c r="A12" s="82" t="s">
        <v>88</v>
      </c>
      <c r="B12" s="65"/>
      <c r="C12" s="44" t="s">
        <v>56</v>
      </c>
      <c r="D12" s="47">
        <f>SUM(D4:D7)/C10</f>
        <v>37.49286893807588</v>
      </c>
      <c r="F12" s="82" t="s">
        <v>89</v>
      </c>
      <c r="G12" s="65"/>
      <c r="H12" s="44" t="s">
        <v>56</v>
      </c>
      <c r="I12" s="45">
        <f>SUM(I4:I6)/H10</f>
        <v>6.108689508208858</v>
      </c>
      <c r="K12" s="82" t="s">
        <v>90</v>
      </c>
      <c r="L12" s="65"/>
      <c r="M12" s="44" t="s">
        <v>56</v>
      </c>
      <c r="N12" s="45">
        <f>SUM(N4:N6)/M10</f>
        <v>46.66212230487163</v>
      </c>
    </row>
    <row r="13" spans="2:3" ht="12.75">
      <c r="B13" s="66"/>
      <c r="C13" s="66"/>
    </row>
    <row r="14" ht="12.75"/>
    <row r="15" ht="12.75"/>
    <row r="16" spans="1:4" ht="12.75">
      <c r="A16" s="77" t="s">
        <v>85</v>
      </c>
      <c r="B16" s="77"/>
      <c r="C16" s="78" t="s">
        <v>54</v>
      </c>
      <c r="D16" s="79">
        <f>D11+I11+N11</f>
        <v>58.67139248825164</v>
      </c>
    </row>
    <row r="17" spans="1:4" ht="12.75">
      <c r="A17" s="77" t="s">
        <v>87</v>
      </c>
      <c r="B17" s="77"/>
      <c r="C17" s="78" t="s">
        <v>54</v>
      </c>
      <c r="D17" s="79">
        <f>D12+I12+N12</f>
        <v>90.26368075115637</v>
      </c>
    </row>
    <row r="19" ht="12.75">
      <c r="G19" s="67"/>
    </row>
  </sheetData>
  <mergeCells count="1">
    <mergeCell ref="A1:I1"/>
  </mergeCells>
  <printOptions/>
  <pageMargins left="0.3937007874015748" right="0.3937007874015748" top="0.984251968503937" bottom="0.984251968503937" header="0.5118110236220472" footer="0.5118110236220472"/>
  <pageSetup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D3" sqref="A3:D12"/>
    </sheetView>
  </sheetViews>
  <sheetFormatPr defaultColWidth="9.140625" defaultRowHeight="12.75"/>
  <cols>
    <col min="1" max="1" width="15.7109375" style="48" customWidth="1"/>
    <col min="2" max="2" width="11.28125" style="48" customWidth="1"/>
    <col min="3" max="3" width="7.7109375" style="48" customWidth="1"/>
    <col min="4" max="4" width="7.57421875" style="48" customWidth="1"/>
    <col min="5" max="5" width="2.00390625" style="48" customWidth="1"/>
    <col min="6" max="6" width="21.00390625" style="48" customWidth="1"/>
    <col min="7" max="7" width="8.140625" style="48" customWidth="1"/>
    <col min="8" max="8" width="8.28125" style="48" bestFit="1" customWidth="1"/>
    <col min="9" max="9" width="8.8515625" style="48" customWidth="1"/>
    <col min="10" max="10" width="1.7109375" style="48" customWidth="1"/>
    <col min="11" max="11" width="16.00390625" style="48" customWidth="1"/>
    <col min="12" max="12" width="8.7109375" style="48" customWidth="1"/>
    <col min="13" max="16384" width="8.8515625" style="48" customWidth="1"/>
  </cols>
  <sheetData>
    <row r="1" spans="1:9" ht="25.5" customHeight="1">
      <c r="A1" s="92" t="s">
        <v>78</v>
      </c>
      <c r="B1" s="92"/>
      <c r="C1" s="92"/>
      <c r="D1" s="92"/>
      <c r="E1" s="92"/>
      <c r="F1" s="92"/>
      <c r="G1" s="92"/>
      <c r="H1" s="92"/>
      <c r="I1" s="92"/>
    </row>
    <row r="2" ht="13.5" thickBot="1"/>
    <row r="3" spans="1:14" ht="39" thickBot="1">
      <c r="A3" s="51" t="s">
        <v>59</v>
      </c>
      <c r="B3" s="80" t="s">
        <v>57</v>
      </c>
      <c r="C3" s="81" t="s">
        <v>58</v>
      </c>
      <c r="D3" s="52" t="s">
        <v>47</v>
      </c>
      <c r="F3" s="68" t="s">
        <v>60</v>
      </c>
      <c r="G3" s="69" t="s">
        <v>57</v>
      </c>
      <c r="H3" s="49" t="s">
        <v>58</v>
      </c>
      <c r="I3" s="50" t="s">
        <v>47</v>
      </c>
      <c r="K3" s="51" t="s">
        <v>50</v>
      </c>
      <c r="L3" s="69" t="s">
        <v>57</v>
      </c>
      <c r="M3" s="49" t="s">
        <v>58</v>
      </c>
      <c r="N3" s="52" t="s">
        <v>47</v>
      </c>
    </row>
    <row r="4" spans="1:14" ht="12.75">
      <c r="A4" s="53" t="s">
        <v>20</v>
      </c>
      <c r="B4" s="54">
        <v>1</v>
      </c>
      <c r="C4" s="54">
        <v>17</v>
      </c>
      <c r="D4" s="55">
        <f>B4*C4</f>
        <v>17</v>
      </c>
      <c r="F4" s="56" t="s">
        <v>20</v>
      </c>
      <c r="G4" s="57">
        <v>1</v>
      </c>
      <c r="H4" s="57">
        <v>17</v>
      </c>
      <c r="I4" s="38">
        <f>G4*H4</f>
        <v>17</v>
      </c>
      <c r="K4" s="53" t="s">
        <v>20</v>
      </c>
      <c r="L4" s="57">
        <v>2</v>
      </c>
      <c r="M4" s="57">
        <v>17</v>
      </c>
      <c r="N4" s="55">
        <f>M4*L4</f>
        <v>34</v>
      </c>
    </row>
    <row r="5" spans="1:14" ht="12.75">
      <c r="A5" s="56" t="s">
        <v>33</v>
      </c>
      <c r="B5" s="58"/>
      <c r="C5" s="59"/>
      <c r="D5" s="39">
        <f>'f3COSTO ORARIO €|ora'!B7</f>
        <v>9.097694812997656</v>
      </c>
      <c r="F5" s="56" t="s">
        <v>68</v>
      </c>
      <c r="G5" s="59"/>
      <c r="H5" s="58"/>
      <c r="I5" s="39">
        <f>'f3COSTO ORARIO €|ora'!B21</f>
        <v>10.794537262350303</v>
      </c>
      <c r="K5" s="56" t="s">
        <v>82</v>
      </c>
      <c r="L5" s="59"/>
      <c r="M5" s="58"/>
      <c r="N5" s="39">
        <f>'f3COSTO ORARIO €|ora'!B29</f>
        <v>6.509574319776215</v>
      </c>
    </row>
    <row r="6" spans="1:14" ht="12.75">
      <c r="A6" s="56" t="s">
        <v>45</v>
      </c>
      <c r="B6" s="58"/>
      <c r="C6" s="59"/>
      <c r="D6" s="40">
        <f>'f3COSTO ORARIO €|ora'!B11</f>
        <v>3.8299606406795483</v>
      </c>
      <c r="F6" s="56"/>
      <c r="G6" s="59"/>
      <c r="H6" s="58"/>
      <c r="I6" s="40"/>
      <c r="K6" s="56" t="s">
        <v>79</v>
      </c>
      <c r="L6" s="59"/>
      <c r="M6" s="58"/>
      <c r="N6" s="40">
        <f>'f3COSTO ORARIO €|ora'!B27</f>
        <v>4.98599492747363</v>
      </c>
    </row>
    <row r="7" spans="1:14" ht="12.75">
      <c r="A7" s="56" t="s">
        <v>44</v>
      </c>
      <c r="B7" s="58"/>
      <c r="C7" s="59"/>
      <c r="D7" s="40">
        <f>'f3COSTO ORARIO €|ora'!B13</f>
        <v>2.01228978951846</v>
      </c>
      <c r="F7" s="56"/>
      <c r="G7" s="59"/>
      <c r="H7" s="59"/>
      <c r="I7" s="60"/>
      <c r="K7" s="56"/>
      <c r="L7" s="59"/>
      <c r="M7" s="59"/>
      <c r="N7" s="60"/>
    </row>
    <row r="8" spans="1:14" ht="13.5" thickBot="1">
      <c r="A8" s="61"/>
      <c r="B8" s="62"/>
      <c r="C8" s="62"/>
      <c r="D8" s="63"/>
      <c r="F8" s="61"/>
      <c r="G8" s="64"/>
      <c r="H8" s="64"/>
      <c r="I8" s="63"/>
      <c r="K8" s="61"/>
      <c r="L8" s="64"/>
      <c r="M8" s="64"/>
      <c r="N8" s="63"/>
    </row>
    <row r="9" spans="1:14" ht="13.5" thickTop="1">
      <c r="A9" s="56" t="s">
        <v>38</v>
      </c>
      <c r="B9" s="59" t="s">
        <v>46</v>
      </c>
      <c r="C9" s="57">
        <v>7</v>
      </c>
      <c r="D9" s="60"/>
      <c r="F9" s="56" t="s">
        <v>38</v>
      </c>
      <c r="G9" s="59" t="s">
        <v>46</v>
      </c>
      <c r="H9" s="57">
        <v>7</v>
      </c>
      <c r="I9" s="60"/>
      <c r="K9" s="56" t="s">
        <v>38</v>
      </c>
      <c r="L9" s="59" t="s">
        <v>46</v>
      </c>
      <c r="M9" s="57">
        <v>1.5</v>
      </c>
      <c r="N9" s="60"/>
    </row>
    <row r="10" spans="1:14" ht="25.5">
      <c r="A10" s="70" t="s">
        <v>61</v>
      </c>
      <c r="B10" s="59" t="s">
        <v>46</v>
      </c>
      <c r="C10" s="41">
        <f>C9*0.65</f>
        <v>4.55</v>
      </c>
      <c r="D10" s="60"/>
      <c r="F10" s="56" t="s">
        <v>61</v>
      </c>
      <c r="G10" s="59" t="s">
        <v>46</v>
      </c>
      <c r="H10" s="41">
        <f>H9*0.65</f>
        <v>4.55</v>
      </c>
      <c r="I10" s="60"/>
      <c r="K10" s="70" t="s">
        <v>61</v>
      </c>
      <c r="L10" s="59" t="s">
        <v>46</v>
      </c>
      <c r="M10" s="41">
        <f>M9*0.65</f>
        <v>0.9750000000000001</v>
      </c>
      <c r="N10" s="60"/>
    </row>
    <row r="11" spans="1:14" ht="12.75">
      <c r="A11" s="56" t="s">
        <v>88</v>
      </c>
      <c r="B11" s="59"/>
      <c r="C11" s="42" t="s">
        <v>55</v>
      </c>
      <c r="D11" s="46">
        <f>SUM(D4:D7)/C9</f>
        <v>4.5628493204565235</v>
      </c>
      <c r="F11" s="56" t="s">
        <v>89</v>
      </c>
      <c r="G11" s="59"/>
      <c r="H11" s="42" t="s">
        <v>55</v>
      </c>
      <c r="I11" s="43">
        <f>SUM(I4:I6)/H9</f>
        <v>3.9706481803357576</v>
      </c>
      <c r="K11" s="56" t="s">
        <v>90</v>
      </c>
      <c r="L11" s="59"/>
      <c r="M11" s="42" t="s">
        <v>55</v>
      </c>
      <c r="N11" s="43">
        <f>SUM(N4:N6)/M9</f>
        <v>30.330379498166565</v>
      </c>
    </row>
    <row r="12" spans="1:14" ht="13.5" thickBot="1">
      <c r="A12" s="82" t="s">
        <v>88</v>
      </c>
      <c r="B12" s="65"/>
      <c r="C12" s="44" t="s">
        <v>56</v>
      </c>
      <c r="D12" s="47">
        <f>SUM(D4:D7)/C10</f>
        <v>7.019768185317728</v>
      </c>
      <c r="F12" s="82" t="s">
        <v>89</v>
      </c>
      <c r="G12" s="65"/>
      <c r="H12" s="44" t="s">
        <v>56</v>
      </c>
      <c r="I12" s="45">
        <f>SUM(I4:I6)/H10</f>
        <v>6.108689508208858</v>
      </c>
      <c r="K12" s="82" t="s">
        <v>90</v>
      </c>
      <c r="L12" s="65"/>
      <c r="M12" s="44" t="s">
        <v>56</v>
      </c>
      <c r="N12" s="45">
        <f>SUM(N4:N6)/M10</f>
        <v>46.66212230487163</v>
      </c>
    </row>
    <row r="13" spans="2:3" ht="12.75">
      <c r="B13" s="66"/>
      <c r="C13" s="66"/>
    </row>
    <row r="14" ht="12.75"/>
    <row r="15" ht="12.75"/>
    <row r="16" spans="1:4" ht="12.75">
      <c r="A16" s="77" t="s">
        <v>85</v>
      </c>
      <c r="B16" s="77"/>
      <c r="C16" s="78" t="s">
        <v>54</v>
      </c>
      <c r="D16" s="79">
        <f>D11+I11+N11</f>
        <v>38.863876998958844</v>
      </c>
    </row>
    <row r="17" spans="1:4" ht="12.75">
      <c r="A17" s="77" t="s">
        <v>87</v>
      </c>
      <c r="B17" s="77"/>
      <c r="C17" s="78" t="s">
        <v>54</v>
      </c>
      <c r="D17" s="79">
        <f>D12+I12+N12</f>
        <v>59.790579998398215</v>
      </c>
    </row>
    <row r="19" ht="12.75">
      <c r="G19" s="67"/>
    </row>
  </sheetData>
  <mergeCells count="1">
    <mergeCell ref="A1:I1"/>
  </mergeCells>
  <printOptions/>
  <pageMargins left="0.3937007874015748" right="0.3937007874015748" top="0.984251968503937" bottom="0.984251968503937" header="0.5118110236220472" footer="0.5118110236220472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TadiAles</cp:lastModifiedBy>
  <cp:lastPrinted>2007-05-16T12:59:35Z</cp:lastPrinted>
  <dcterms:created xsi:type="dcterms:W3CDTF">2005-03-09T14:32:41Z</dcterms:created>
  <dcterms:modified xsi:type="dcterms:W3CDTF">2007-05-16T12:59:39Z</dcterms:modified>
  <cp:category/>
  <cp:version/>
  <cp:contentType/>
  <cp:contentStatus/>
</cp:coreProperties>
</file>